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8_{E4CE416F-3A3E-CD44-89E8-A0ABB1514393}" xr6:coauthVersionLast="47" xr6:coauthVersionMax="47" xr10:uidLastSave="{00000000-0000-0000-0000-000000000000}"/>
  <bookViews>
    <workbookView xWindow="340" yWindow="940" windowWidth="32620" windowHeight="18480" activeTab="2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4" i="13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16" i="3" l="1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E6" i="3"/>
  <c r="E5" i="3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14" i="3"/>
  <c r="F6" i="3"/>
  <c r="F5" i="3" s="1"/>
  <c r="C6" i="12"/>
  <c r="F6" i="12"/>
  <c r="F5" i="12" s="1"/>
  <c r="D6" i="7"/>
  <c r="D5" i="7" s="1"/>
  <c r="C6" i="7"/>
  <c r="E6" i="7"/>
  <c r="E5" i="7" s="1"/>
  <c r="F14" i="13"/>
  <c r="E6" i="10"/>
  <c r="E5" i="10" s="1"/>
  <c r="H14" i="7"/>
  <c r="G14" i="7"/>
  <c r="G14" i="3"/>
  <c r="G14" i="4"/>
  <c r="H14" i="4"/>
  <c r="E14" i="4"/>
  <c r="H6" i="3"/>
  <c r="H5" i="3" s="1"/>
  <c r="F6" i="7"/>
  <c r="F5" i="7" s="1"/>
  <c r="I6" i="12"/>
  <c r="I5" i="12" s="1"/>
  <c r="H14" i="3"/>
  <c r="I14" i="3"/>
  <c r="D14" i="3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C16" i="4" a="1"/>
  <c r="C6" i="2" a="1"/>
  <c r="C8" i="5" a="1"/>
  <c r="C16" i="5" a="1"/>
  <c r="C16" i="9" a="1"/>
  <c r="C12" i="10" a="1"/>
  <c r="C14" i="11" a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H14" i="11"/>
  <c r="C10" i="11"/>
  <c r="H16" i="11"/>
  <c r="G16" i="11"/>
  <c r="F16" i="11"/>
  <c r="E16" i="11"/>
  <c r="I10" i="11"/>
  <c r="F12" i="11"/>
  <c r="D16" i="11"/>
  <c r="G10" i="11"/>
  <c r="H12" i="11"/>
  <c r="E10" i="11"/>
  <c r="H10" i="11"/>
  <c r="E14" i="11"/>
  <c r="C12" i="11"/>
  <c r="D10" i="11"/>
  <c r="D12" i="11"/>
  <c r="F14" i="11"/>
  <c r="E6" i="11"/>
  <c r="E5" i="11" s="1"/>
  <c r="E12" i="11"/>
  <c r="G14" i="11"/>
  <c r="C14" i="11"/>
  <c r="H8" i="11"/>
  <c r="E16" i="6" l="1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<sst xmlns="http://schemas.openxmlformats.org/spreadsheetml/2006/main" count="62" uniqueCount="40">
  <si>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50/50 2-2-3 Parenting Schedule</t>
  </si>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</sst>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2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80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9" xfId="0" applyFont="1" applyBorder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0" borderId="12" xfId="0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26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left" vertical="top" wrapTex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9" xfId="11" applyNumberFormat="1" applyFont="1" applyBorder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0" borderId="9" xfId="11" applyFont="1" applyBorder="1">
      <alignment horizontal="left" vertical="top" wrapText="1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5" xfId="11" applyFont="1" applyFill="1" applyBorder="1">
      <alignment horizontal="left" vertical="top" wrapText="1" inden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4" fillId="3" borderId="9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11" fillId="0" borderId="16" xfId="11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2" xfId="11" applyFont="1" applyBorder="1" applyAlignment="1">
      <alignment horizontal="left" vertical="top" wrapTex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64" fontId="12" fillId="0" borderId="12" xfId="4" applyFont="1" applyFill="1" applyBorder="1">
      <alignment horizontal="left" inden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17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8" fontId="11" fillId="5" borderId="30" xfId="11" applyNumberFormat="1" applyFont="1" applyFill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1181100</xdr:colOff>
      <xdr:row>6</xdr:row>
      <xdr:rowOff>165652</xdr:rowOff>
    </xdr:from>
    <xdr:to>
      <xdr:col>9</xdr:col>
      <xdr:colOff>8652</xdr:colOff>
      <xdr:row>6</xdr:row>
      <xdr:rowOff>507999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711F66-6C0A-994F-91E9-36396E6A05D9}"/>
            </a:ext>
          </a:extLst>
        </xdr:cNvPr>
        <xdr:cNvSpPr txBox="1"/>
      </xdr:nvSpPr>
      <xdr:spPr>
        <a:xfrm>
          <a:off x="11620500" y="3277152"/>
          <a:ext cx="6257052" cy="34234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8</xdr:row>
      <xdr:rowOff>189948</xdr:rowOff>
    </xdr:from>
    <xdr:to>
      <xdr:col>9</xdr:col>
      <xdr:colOff>17116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11684000" y="4571448"/>
          <a:ext cx="620201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8</xdr:row>
      <xdr:rowOff>189948</xdr:rowOff>
    </xdr:from>
    <xdr:to>
      <xdr:col>6</xdr:col>
      <xdr:colOff>1231900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45828D5-D1A2-C042-980C-60EE1CDE59AE}"/>
            </a:ext>
          </a:extLst>
        </xdr:cNvPr>
        <xdr:cNvSpPr txBox="1"/>
      </xdr:nvSpPr>
      <xdr:spPr>
        <a:xfrm>
          <a:off x="6705600" y="4571448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189949</xdr:rowOff>
    </xdr:from>
    <xdr:to>
      <xdr:col>4</xdr:col>
      <xdr:colOff>1231900</xdr:colOff>
      <xdr:row>8</xdr:row>
      <xdr:rowOff>508000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0D1622-0680-B94E-89C7-23A5CAE6B927}"/>
            </a:ext>
          </a:extLst>
        </xdr:cNvPr>
        <xdr:cNvSpPr txBox="1"/>
      </xdr:nvSpPr>
      <xdr:spPr>
        <a:xfrm>
          <a:off x="1790700" y="4571449"/>
          <a:ext cx="49276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178354</xdr:rowOff>
    </xdr:from>
    <xdr:to>
      <xdr:col>4</xdr:col>
      <xdr:colOff>1219200</xdr:colOff>
      <xdr:row>10</xdr:row>
      <xdr:rowOff>495854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3A8F89-1B84-614F-9E5C-779B67B80666}"/>
            </a:ext>
          </a:extLst>
        </xdr:cNvPr>
        <xdr:cNvSpPr txBox="1"/>
      </xdr:nvSpPr>
      <xdr:spPr>
        <a:xfrm>
          <a:off x="1790700" y="5829854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1219199</xdr:colOff>
      <xdr:row>10</xdr:row>
      <xdr:rowOff>178354</xdr:rowOff>
    </xdr:from>
    <xdr:to>
      <xdr:col>6</xdr:col>
      <xdr:colOff>1206500</xdr:colOff>
      <xdr:row>10</xdr:row>
      <xdr:rowOff>495854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C5F1F6-EA57-994F-8904-30FD2F6C80F9}"/>
            </a:ext>
          </a:extLst>
        </xdr:cNvPr>
        <xdr:cNvSpPr txBox="1"/>
      </xdr:nvSpPr>
      <xdr:spPr>
        <a:xfrm>
          <a:off x="6705599" y="5829854"/>
          <a:ext cx="49403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10</xdr:row>
      <xdr:rowOff>178353</xdr:rowOff>
    </xdr:from>
    <xdr:to>
      <xdr:col>9</xdr:col>
      <xdr:colOff>4417</xdr:colOff>
      <xdr:row>10</xdr:row>
      <xdr:rowOff>495852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1B95BF3-F3F6-2D45-9D69-02890F56BDAC}"/>
            </a:ext>
          </a:extLst>
        </xdr:cNvPr>
        <xdr:cNvSpPr txBox="1"/>
      </xdr:nvSpPr>
      <xdr:spPr>
        <a:xfrm>
          <a:off x="11645900" y="5829853"/>
          <a:ext cx="6227417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1193799</xdr:colOff>
      <xdr:row>12</xdr:row>
      <xdr:rowOff>164549</xdr:rowOff>
    </xdr:from>
    <xdr:to>
      <xdr:col>8</xdr:col>
      <xdr:colOff>2468216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11633199" y="7086049"/>
          <a:ext cx="6227417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12</xdr:row>
      <xdr:rowOff>164549</xdr:rowOff>
    </xdr:from>
    <xdr:to>
      <xdr:col>6</xdr:col>
      <xdr:colOff>1181100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EB861A3-29ED-BC4D-AA54-347E473A7C8F}"/>
            </a:ext>
          </a:extLst>
        </xdr:cNvPr>
        <xdr:cNvSpPr txBox="1"/>
      </xdr:nvSpPr>
      <xdr:spPr>
        <a:xfrm>
          <a:off x="6705600" y="7086049"/>
          <a:ext cx="4914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164548</xdr:rowOff>
    </xdr:from>
    <xdr:to>
      <xdr:col>4</xdr:col>
      <xdr:colOff>1206500</xdr:colOff>
      <xdr:row>12</xdr:row>
      <xdr:rowOff>482047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928AB72-8DEC-B44F-9166-5B5552CA98D8}"/>
            </a:ext>
          </a:extLst>
        </xdr:cNvPr>
        <xdr:cNvSpPr txBox="1"/>
      </xdr:nvSpPr>
      <xdr:spPr>
        <a:xfrm>
          <a:off x="1803400" y="7086048"/>
          <a:ext cx="488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179458</xdr:rowOff>
    </xdr:from>
    <xdr:to>
      <xdr:col>4</xdr:col>
      <xdr:colOff>1244600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1778000" y="8370958"/>
          <a:ext cx="49530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14</xdr:row>
      <xdr:rowOff>179458</xdr:rowOff>
    </xdr:from>
    <xdr:to>
      <xdr:col>6</xdr:col>
      <xdr:colOff>1155700</xdr:colOff>
      <xdr:row>14</xdr:row>
      <xdr:rowOff>496958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2419829-3EDD-694F-972D-677B3CDE172F}"/>
            </a:ext>
          </a:extLst>
        </xdr:cNvPr>
        <xdr:cNvSpPr txBox="1"/>
      </xdr:nvSpPr>
      <xdr:spPr>
        <a:xfrm>
          <a:off x="6718300" y="8370958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1168400</xdr:colOff>
      <xdr:row>14</xdr:row>
      <xdr:rowOff>179458</xdr:rowOff>
    </xdr:from>
    <xdr:to>
      <xdr:col>9</xdr:col>
      <xdr:colOff>27609</xdr:colOff>
      <xdr:row>14</xdr:row>
      <xdr:rowOff>496958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70FFB3F-99FF-E24F-BC3C-9B46A559EE5A}"/>
            </a:ext>
          </a:extLst>
        </xdr:cNvPr>
        <xdr:cNvSpPr txBox="1"/>
      </xdr:nvSpPr>
      <xdr:spPr>
        <a:xfrm>
          <a:off x="11608231" y="8434458"/>
          <a:ext cx="628548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16</xdr:row>
      <xdr:rowOff>177800</xdr:rowOff>
    </xdr:from>
    <xdr:to>
      <xdr:col>4</xdr:col>
      <xdr:colOff>1181100</xdr:colOff>
      <xdr:row>16</xdr:row>
      <xdr:rowOff>502203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B4E11B-03CE-814F-AA34-17C3AB80FBE2}"/>
            </a:ext>
          </a:extLst>
        </xdr:cNvPr>
        <xdr:cNvSpPr txBox="1"/>
      </xdr:nvSpPr>
      <xdr:spPr>
        <a:xfrm>
          <a:off x="1778000" y="9639300"/>
          <a:ext cx="48895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8</xdr:row>
      <xdr:rowOff>186267</xdr:rowOff>
    </xdr:from>
    <xdr:to>
      <xdr:col>2</xdr:col>
      <xdr:colOff>1257300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3399" y="4567767"/>
          <a:ext cx="12573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10</xdr:row>
      <xdr:rowOff>177800</xdr:rowOff>
    </xdr:from>
    <xdr:to>
      <xdr:col>2</xdr:col>
      <xdr:colOff>1244600</xdr:colOff>
      <xdr:row>10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58799" y="582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12</xdr:row>
      <xdr:rowOff>160867</xdr:rowOff>
    </xdr:from>
    <xdr:to>
      <xdr:col>2</xdr:col>
      <xdr:colOff>1257300</xdr:colOff>
      <xdr:row>12</xdr:row>
      <xdr:rowOff>482600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3399" y="7082367"/>
          <a:ext cx="12573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2</xdr:col>
      <xdr:colOff>1244600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8799" y="836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16</xdr:row>
      <xdr:rowOff>173567</xdr:rowOff>
    </xdr:from>
    <xdr:to>
      <xdr:col>2</xdr:col>
      <xdr:colOff>1270000</xdr:colOff>
      <xdr:row>16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05FB50-BCBF-DC40-8DC9-2CCEB658B53A}"/>
            </a:ext>
          </a:extLst>
        </xdr:cNvPr>
        <xdr:cNvSpPr txBox="1"/>
      </xdr:nvSpPr>
      <xdr:spPr>
        <a:xfrm>
          <a:off x="546099" y="9635067"/>
          <a:ext cx="12573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6</xdr:row>
      <xdr:rowOff>177249</xdr:rowOff>
    </xdr:from>
    <xdr:to>
      <xdr:col>6</xdr:col>
      <xdr:colOff>1181100</xdr:colOff>
      <xdr:row>6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D4C9939-DC79-A74B-98ED-01A9354683A7}"/>
            </a:ext>
          </a:extLst>
        </xdr:cNvPr>
        <xdr:cNvSpPr txBox="1"/>
      </xdr:nvSpPr>
      <xdr:spPr>
        <a:xfrm>
          <a:off x="6695483" y="3309198"/>
          <a:ext cx="4925448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6</xdr:row>
      <xdr:rowOff>177248</xdr:rowOff>
    </xdr:from>
    <xdr:to>
      <xdr:col>4</xdr:col>
      <xdr:colOff>1193800</xdr:colOff>
      <xdr:row>6</xdr:row>
      <xdr:rowOff>494748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1714500" y="3288748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18405</xdr:colOff>
      <xdr:row>1</xdr:row>
      <xdr:rowOff>588985</xdr:rowOff>
    </xdr:from>
    <xdr:to>
      <xdr:col>8</xdr:col>
      <xdr:colOff>2164705</xdr:colOff>
      <xdr:row>3</xdr:row>
      <xdr:rowOff>398572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6CD44DF-76D7-5D4E-90F3-13EBD623C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42463" y="773043"/>
          <a:ext cx="2146300" cy="1024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1231900</xdr:colOff>
      <xdr:row>6</xdr:row>
      <xdr:rowOff>177800</xdr:rowOff>
    </xdr:from>
    <xdr:to>
      <xdr:col>6</xdr:col>
      <xdr:colOff>1193800</xdr:colOff>
      <xdr:row>6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016A94-F252-D741-8DEB-F372B648F154}"/>
            </a:ext>
          </a:extLst>
        </xdr:cNvPr>
        <xdr:cNvSpPr txBox="1"/>
      </xdr:nvSpPr>
      <xdr:spPr>
        <a:xfrm>
          <a:off x="6718300" y="32893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1168400</xdr:colOff>
      <xdr:row>8</xdr:row>
      <xdr:rowOff>177800</xdr:rowOff>
    </xdr:from>
    <xdr:to>
      <xdr:col>4</xdr:col>
      <xdr:colOff>1206500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1701800" y="4559300"/>
          <a:ext cx="499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1311412</xdr:colOff>
      <xdr:row>12</xdr:row>
      <xdr:rowOff>152399</xdr:rowOff>
    </xdr:from>
    <xdr:to>
      <xdr:col>4</xdr:col>
      <xdr:colOff>1283804</xdr:colOff>
      <xdr:row>12</xdr:row>
      <xdr:rowOff>496956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6FF34EA-97D7-A543-A56D-766BC4965CFC}"/>
            </a:ext>
          </a:extLst>
        </xdr:cNvPr>
        <xdr:cNvSpPr txBox="1"/>
      </xdr:nvSpPr>
      <xdr:spPr>
        <a:xfrm>
          <a:off x="1835977" y="7068377"/>
          <a:ext cx="4914349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1228587</xdr:colOff>
      <xdr:row>10</xdr:row>
      <xdr:rowOff>152400</xdr:rowOff>
    </xdr:from>
    <xdr:to>
      <xdr:col>6</xdr:col>
      <xdr:colOff>1228587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6695109" y="5798378"/>
          <a:ext cx="4941956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8</xdr:row>
      <xdr:rowOff>177800</xdr:rowOff>
    </xdr:from>
    <xdr:to>
      <xdr:col>6</xdr:col>
      <xdr:colOff>1197428</xdr:colOff>
      <xdr:row>8</xdr:row>
      <xdr:rowOff>489857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6DCF9A-6F94-E34A-BD25-E99B28923CFB}"/>
            </a:ext>
          </a:extLst>
        </xdr:cNvPr>
        <xdr:cNvSpPr txBox="1"/>
      </xdr:nvSpPr>
      <xdr:spPr>
        <a:xfrm>
          <a:off x="6672943" y="4559300"/>
          <a:ext cx="4956628" cy="31205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1311412</xdr:colOff>
      <xdr:row>10</xdr:row>
      <xdr:rowOff>150192</xdr:rowOff>
    </xdr:from>
    <xdr:to>
      <xdr:col>4</xdr:col>
      <xdr:colOff>1228587</xdr:colOff>
      <xdr:row>10</xdr:row>
      <xdr:rowOff>496957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B553AA8-AA17-B44D-A1EB-9CC42D6D3212}"/>
            </a:ext>
          </a:extLst>
        </xdr:cNvPr>
        <xdr:cNvSpPr txBox="1"/>
      </xdr:nvSpPr>
      <xdr:spPr>
        <a:xfrm>
          <a:off x="1835977" y="5796170"/>
          <a:ext cx="4859132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1297608</xdr:colOff>
      <xdr:row>14</xdr:row>
      <xdr:rowOff>177800</xdr:rowOff>
    </xdr:from>
    <xdr:to>
      <xdr:col>4</xdr:col>
      <xdr:colOff>1270000</xdr:colOff>
      <xdr:row>14</xdr:row>
      <xdr:rowOff>524565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3DDF9DC-B0AE-614F-AC9F-01E289757A6C}"/>
            </a:ext>
          </a:extLst>
        </xdr:cNvPr>
        <xdr:cNvSpPr txBox="1"/>
      </xdr:nvSpPr>
      <xdr:spPr>
        <a:xfrm>
          <a:off x="1822173" y="8363778"/>
          <a:ext cx="4914349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1283804</xdr:colOff>
      <xdr:row>12</xdr:row>
      <xdr:rowOff>151849</xdr:rowOff>
    </xdr:from>
    <xdr:to>
      <xdr:col>6</xdr:col>
      <xdr:colOff>1187174</xdr:colOff>
      <xdr:row>12</xdr:row>
      <xdr:rowOff>496957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6750326" y="7067827"/>
          <a:ext cx="4845326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1193800</xdr:colOff>
      <xdr:row>6</xdr:row>
      <xdr:rowOff>177800</xdr:rowOff>
    </xdr:from>
    <xdr:to>
      <xdr:col>8</xdr:col>
      <xdr:colOff>2458830</xdr:colOff>
      <xdr:row>6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DE16B17-A471-384C-BCB1-A63C1D7060E1}"/>
            </a:ext>
          </a:extLst>
        </xdr:cNvPr>
        <xdr:cNvSpPr txBox="1"/>
      </xdr:nvSpPr>
      <xdr:spPr>
        <a:xfrm>
          <a:off x="11633200" y="3289300"/>
          <a:ext cx="621803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1228587</xdr:colOff>
      <xdr:row>10</xdr:row>
      <xdr:rowOff>151849</xdr:rowOff>
    </xdr:from>
    <xdr:to>
      <xdr:col>8</xdr:col>
      <xdr:colOff>2458830</xdr:colOff>
      <xdr:row>10</xdr:row>
      <xdr:rowOff>496957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EDF51BE-DB4E-B642-BD35-1FEAF15969EB}"/>
            </a:ext>
          </a:extLst>
        </xdr:cNvPr>
        <xdr:cNvSpPr txBox="1"/>
      </xdr:nvSpPr>
      <xdr:spPr>
        <a:xfrm>
          <a:off x="11637065" y="5797827"/>
          <a:ext cx="617220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8</xdr:row>
      <xdr:rowOff>177800</xdr:rowOff>
    </xdr:from>
    <xdr:to>
      <xdr:col>8</xdr:col>
      <xdr:colOff>2469875</xdr:colOff>
      <xdr:row>8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8E0FBD-0C06-4A4A-9373-9E305CB328D4}"/>
            </a:ext>
          </a:extLst>
        </xdr:cNvPr>
        <xdr:cNvSpPr txBox="1"/>
      </xdr:nvSpPr>
      <xdr:spPr>
        <a:xfrm>
          <a:off x="11638643" y="4559300"/>
          <a:ext cx="621637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1173369</xdr:colOff>
      <xdr:row>12</xdr:row>
      <xdr:rowOff>151296</xdr:rowOff>
    </xdr:from>
    <xdr:to>
      <xdr:col>9</xdr:col>
      <xdr:colOff>13804</xdr:colOff>
      <xdr:row>12</xdr:row>
      <xdr:rowOff>496957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2918758-7B48-4C46-A1DC-9C3E69C20515}"/>
            </a:ext>
          </a:extLst>
        </xdr:cNvPr>
        <xdr:cNvSpPr txBox="1"/>
      </xdr:nvSpPr>
      <xdr:spPr>
        <a:xfrm>
          <a:off x="11581847" y="7067274"/>
          <a:ext cx="6253370" cy="34566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</xdr:colOff>
      <xdr:row>6</xdr:row>
      <xdr:rowOff>177800</xdr:rowOff>
    </xdr:from>
    <xdr:to>
      <xdr:col>4</xdr:col>
      <xdr:colOff>1231901</xdr:colOff>
      <xdr:row>6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5499100" y="328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2</xdr:col>
      <xdr:colOff>1206501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3D912A-8869-CC40-84A8-8D4DEFE14D24}"/>
            </a:ext>
          </a:extLst>
        </xdr:cNvPr>
        <xdr:cNvSpPr txBox="1"/>
      </xdr:nvSpPr>
      <xdr:spPr>
        <a:xfrm>
          <a:off x="533400" y="4559300"/>
          <a:ext cx="120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8835</xdr:colOff>
      <xdr:row>10</xdr:row>
      <xdr:rowOff>151848</xdr:rowOff>
    </xdr:from>
    <xdr:to>
      <xdr:col>2</xdr:col>
      <xdr:colOff>1339022</xdr:colOff>
      <xdr:row>10</xdr:row>
      <xdr:rowOff>496957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34D223-02C5-E241-949A-0058DE925D73}"/>
            </a:ext>
          </a:extLst>
        </xdr:cNvPr>
        <xdr:cNvSpPr txBox="1"/>
      </xdr:nvSpPr>
      <xdr:spPr>
        <a:xfrm>
          <a:off x="533400" y="5797826"/>
          <a:ext cx="1330187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12</xdr:row>
      <xdr:rowOff>155713</xdr:rowOff>
    </xdr:from>
    <xdr:to>
      <xdr:col>2</xdr:col>
      <xdr:colOff>1311413</xdr:colOff>
      <xdr:row>12</xdr:row>
      <xdr:rowOff>496957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73A4F-952D-6D42-9C84-5AF131314719}"/>
            </a:ext>
          </a:extLst>
        </xdr:cNvPr>
        <xdr:cNvSpPr txBox="1"/>
      </xdr:nvSpPr>
      <xdr:spPr>
        <a:xfrm>
          <a:off x="547205" y="7071691"/>
          <a:ext cx="1288773" cy="3412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9387</xdr:colOff>
      <xdr:row>14</xdr:row>
      <xdr:rowOff>180009</xdr:rowOff>
    </xdr:from>
    <xdr:to>
      <xdr:col>2</xdr:col>
      <xdr:colOff>1339574</xdr:colOff>
      <xdr:row>14</xdr:row>
      <xdr:rowOff>525118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DE24D-8D2E-CC4D-A2C2-382A338F7CD6}"/>
            </a:ext>
          </a:extLst>
        </xdr:cNvPr>
        <xdr:cNvSpPr txBox="1"/>
      </xdr:nvSpPr>
      <xdr:spPr>
        <a:xfrm>
          <a:off x="533952" y="8365987"/>
          <a:ext cx="1330187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41413</xdr:colOff>
      <xdr:row>1</xdr:row>
      <xdr:rowOff>621196</xdr:rowOff>
    </xdr:from>
    <xdr:to>
      <xdr:col>8</xdr:col>
      <xdr:colOff>2187713</xdr:colOff>
      <xdr:row>3</xdr:row>
      <xdr:rowOff>444588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AFA204-CC65-7B46-8B2C-1ECEB9A2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1848" y="814457"/>
          <a:ext cx="2146300" cy="1024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1231900</xdr:colOff>
      <xdr:row>6</xdr:row>
      <xdr:rowOff>177800</xdr:rowOff>
    </xdr:from>
    <xdr:to>
      <xdr:col>6</xdr:col>
      <xdr:colOff>1181100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6718300" y="32893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190500</xdr:rowOff>
    </xdr:from>
    <xdr:to>
      <xdr:col>4</xdr:col>
      <xdr:colOff>1270000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1790700" y="45720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165100</xdr:rowOff>
    </xdr:from>
    <xdr:to>
      <xdr:col>4</xdr:col>
      <xdr:colOff>1282700</xdr:colOff>
      <xdr:row>12</xdr:row>
      <xdr:rowOff>482600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1790700" y="70866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14</xdr:row>
      <xdr:rowOff>177800</xdr:rowOff>
    </xdr:from>
    <xdr:to>
      <xdr:col>6</xdr:col>
      <xdr:colOff>1257300</xdr:colOff>
      <xdr:row>14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6718300" y="836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1257300</xdr:colOff>
      <xdr:row>10</xdr:row>
      <xdr:rowOff>177800</xdr:rowOff>
    </xdr:from>
    <xdr:to>
      <xdr:col>6</xdr:col>
      <xdr:colOff>1282700</xdr:colOff>
      <xdr:row>10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6743700" y="582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1270000</xdr:colOff>
      <xdr:row>8</xdr:row>
      <xdr:rowOff>190500</xdr:rowOff>
    </xdr:from>
    <xdr:to>
      <xdr:col>6</xdr:col>
      <xdr:colOff>1193800</xdr:colOff>
      <xdr:row>8</xdr:row>
      <xdr:rowOff>508000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6756400" y="45720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4</xdr:col>
      <xdr:colOff>1244600</xdr:colOff>
      <xdr:row>10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F3F14E7-7586-1641-AD0B-7F37AED75B34}"/>
            </a:ext>
          </a:extLst>
        </xdr:cNvPr>
        <xdr:cNvSpPr txBox="1"/>
      </xdr:nvSpPr>
      <xdr:spPr>
        <a:xfrm>
          <a:off x="1803400" y="58293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1257300</xdr:colOff>
      <xdr:row>12</xdr:row>
      <xdr:rowOff>165100</xdr:rowOff>
    </xdr:from>
    <xdr:to>
      <xdr:col>6</xdr:col>
      <xdr:colOff>1231900</xdr:colOff>
      <xdr:row>12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6743700" y="70866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14</xdr:row>
      <xdr:rowOff>177800</xdr:rowOff>
    </xdr:from>
    <xdr:to>
      <xdr:col>4</xdr:col>
      <xdr:colOff>1219200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94434DA-E6AD-8A47-8A2B-4CFC0ACA7C82}"/>
            </a:ext>
          </a:extLst>
        </xdr:cNvPr>
        <xdr:cNvSpPr txBox="1"/>
      </xdr:nvSpPr>
      <xdr:spPr>
        <a:xfrm>
          <a:off x="1816100" y="83693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1181100</xdr:colOff>
      <xdr:row>6</xdr:row>
      <xdr:rowOff>177800</xdr:rowOff>
    </xdr:from>
    <xdr:to>
      <xdr:col>8</xdr:col>
      <xdr:colOff>2475395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1637E8-9337-1C49-8578-685326A14536}"/>
            </a:ext>
          </a:extLst>
        </xdr:cNvPr>
        <xdr:cNvSpPr txBox="1"/>
      </xdr:nvSpPr>
      <xdr:spPr>
        <a:xfrm>
          <a:off x="11620500" y="3289300"/>
          <a:ext cx="62472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1282700</xdr:colOff>
      <xdr:row>10</xdr:row>
      <xdr:rowOff>177800</xdr:rowOff>
    </xdr:from>
    <xdr:to>
      <xdr:col>9</xdr:col>
      <xdr:colOff>11595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E2FC85-AE00-ED43-988B-59DB7DC118D1}"/>
            </a:ext>
          </a:extLst>
        </xdr:cNvPr>
        <xdr:cNvSpPr txBox="1"/>
      </xdr:nvSpPr>
      <xdr:spPr>
        <a:xfrm>
          <a:off x="11722100" y="5829300"/>
          <a:ext cx="61583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1257300</xdr:colOff>
      <xdr:row>14</xdr:row>
      <xdr:rowOff>177800</xdr:rowOff>
    </xdr:from>
    <xdr:to>
      <xdr:col>8</xdr:col>
      <xdr:colOff>2475395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11696700" y="8369300"/>
          <a:ext cx="6171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1181100</xdr:colOff>
      <xdr:row>8</xdr:row>
      <xdr:rowOff>190500</xdr:rowOff>
    </xdr:from>
    <xdr:to>
      <xdr:col>9</xdr:col>
      <xdr:colOff>17118</xdr:colOff>
      <xdr:row>8</xdr:row>
      <xdr:rowOff>507999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C4C4E2D-395C-0F4F-A684-718C63F23C52}"/>
            </a:ext>
          </a:extLst>
        </xdr:cNvPr>
        <xdr:cNvSpPr txBox="1"/>
      </xdr:nvSpPr>
      <xdr:spPr>
        <a:xfrm>
          <a:off x="11620500" y="4572000"/>
          <a:ext cx="62655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3CFC10A-F703-C646-AD22-248385DC7FE2}"/>
            </a:ext>
          </a:extLst>
        </xdr:cNvPr>
        <xdr:cNvSpPr txBox="1"/>
      </xdr:nvSpPr>
      <xdr:spPr>
        <a:xfrm>
          <a:off x="11684000" y="7086600"/>
          <a:ext cx="62020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</xdr:colOff>
      <xdr:row>6</xdr:row>
      <xdr:rowOff>177800</xdr:rowOff>
    </xdr:from>
    <xdr:to>
      <xdr:col>4</xdr:col>
      <xdr:colOff>1219201</xdr:colOff>
      <xdr:row>6</xdr:row>
      <xdr:rowOff>495299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5486401" y="3289300"/>
          <a:ext cx="121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2</xdr:col>
      <xdr:colOff>1257299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AD37A3-4269-2144-910D-9F2C96241C2C}"/>
            </a:ext>
          </a:extLst>
        </xdr:cNvPr>
        <xdr:cNvSpPr txBox="1"/>
      </xdr:nvSpPr>
      <xdr:spPr>
        <a:xfrm>
          <a:off x="546100" y="45720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2</xdr:col>
      <xdr:colOff>1257299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327BCF-2422-9B45-B187-5EC556759512}"/>
            </a:ext>
          </a:extLst>
        </xdr:cNvPr>
        <xdr:cNvSpPr txBox="1"/>
      </xdr:nvSpPr>
      <xdr:spPr>
        <a:xfrm>
          <a:off x="546100" y="5829300"/>
          <a:ext cx="12445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1257299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85F1DD-20C3-F64D-9C8F-99BC3AC52993}"/>
            </a:ext>
          </a:extLst>
        </xdr:cNvPr>
        <xdr:cNvSpPr txBox="1"/>
      </xdr:nvSpPr>
      <xdr:spPr>
        <a:xfrm>
          <a:off x="546100" y="708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1269999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C94603-FE8F-6B40-9209-CC9097EEDF37}"/>
            </a:ext>
          </a:extLst>
        </xdr:cNvPr>
        <xdr:cNvSpPr txBox="1"/>
      </xdr:nvSpPr>
      <xdr:spPr>
        <a:xfrm>
          <a:off x="558800" y="8369300"/>
          <a:ext cx="12445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2451100</xdr:colOff>
      <xdr:row>1</xdr:row>
      <xdr:rowOff>673100</xdr:rowOff>
    </xdr:from>
    <xdr:to>
      <xdr:col>8</xdr:col>
      <xdr:colOff>2120900</xdr:colOff>
      <xdr:row>3</xdr:row>
      <xdr:rowOff>490970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91C62-65EB-E947-AB95-DBD10F768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7000" y="863600"/>
          <a:ext cx="2146300" cy="1024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1282700</xdr:colOff>
      <xdr:row>8</xdr:row>
      <xdr:rowOff>177801</xdr:rowOff>
    </xdr:from>
    <xdr:to>
      <xdr:col>6</xdr:col>
      <xdr:colOff>1219200</xdr:colOff>
      <xdr:row>8</xdr:row>
      <xdr:rowOff>495301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6769100" y="4559301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177801</xdr:rowOff>
    </xdr:from>
    <xdr:to>
      <xdr:col>4</xdr:col>
      <xdr:colOff>1244600</xdr:colOff>
      <xdr:row>10</xdr:row>
      <xdr:rowOff>495301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FA8D4CC-72E8-104F-B5C0-F247BAE66F1E}"/>
            </a:ext>
          </a:extLst>
        </xdr:cNvPr>
        <xdr:cNvSpPr txBox="1"/>
      </xdr:nvSpPr>
      <xdr:spPr>
        <a:xfrm>
          <a:off x="1816100" y="5829301"/>
          <a:ext cx="491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1295400</xdr:colOff>
      <xdr:row>12</xdr:row>
      <xdr:rowOff>165101</xdr:rowOff>
    </xdr:from>
    <xdr:to>
      <xdr:col>6</xdr:col>
      <xdr:colOff>1231900</xdr:colOff>
      <xdr:row>12</xdr:row>
      <xdr:rowOff>482601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6781800" y="7086601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14</xdr:row>
      <xdr:rowOff>177800</xdr:rowOff>
    </xdr:from>
    <xdr:to>
      <xdr:col>4</xdr:col>
      <xdr:colOff>1270000</xdr:colOff>
      <xdr:row>14</xdr:row>
      <xdr:rowOff>502203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854C77D-1DF9-6F4A-862B-CA07F54FB2F6}"/>
            </a:ext>
          </a:extLst>
        </xdr:cNvPr>
        <xdr:cNvSpPr txBox="1"/>
      </xdr:nvSpPr>
      <xdr:spPr>
        <a:xfrm>
          <a:off x="1790700" y="8369300"/>
          <a:ext cx="49657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1219200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03C2ED2-7F89-0A4C-AA60-28FB26DA4898}"/>
            </a:ext>
          </a:extLst>
        </xdr:cNvPr>
        <xdr:cNvSpPr txBox="1"/>
      </xdr:nvSpPr>
      <xdr:spPr>
        <a:xfrm>
          <a:off x="11658600" y="3289300"/>
          <a:ext cx="621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1270000</xdr:colOff>
      <xdr:row>10</xdr:row>
      <xdr:rowOff>177800</xdr:rowOff>
    </xdr:from>
    <xdr:to>
      <xdr:col>8</xdr:col>
      <xdr:colOff>2462695</xdr:colOff>
      <xdr:row>10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145335C-B15A-0A46-891E-2CCADB639C84}"/>
            </a:ext>
          </a:extLst>
        </xdr:cNvPr>
        <xdr:cNvSpPr txBox="1"/>
      </xdr:nvSpPr>
      <xdr:spPr>
        <a:xfrm>
          <a:off x="11709400" y="5829300"/>
          <a:ext cx="6145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14</xdr:row>
      <xdr:rowOff>177800</xdr:rowOff>
    </xdr:from>
    <xdr:to>
      <xdr:col>9</xdr:col>
      <xdr:colOff>11595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11684000" y="8369300"/>
          <a:ext cx="61964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8</xdr:row>
      <xdr:rowOff>177800</xdr:rowOff>
    </xdr:from>
    <xdr:to>
      <xdr:col>9</xdr:col>
      <xdr:colOff>17118</xdr:colOff>
      <xdr:row>8</xdr:row>
      <xdr:rowOff>495299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0207000-EBE7-F449-A52D-638451331454}"/>
            </a:ext>
          </a:extLst>
        </xdr:cNvPr>
        <xdr:cNvSpPr txBox="1"/>
      </xdr:nvSpPr>
      <xdr:spPr>
        <a:xfrm>
          <a:off x="11671300" y="4559300"/>
          <a:ext cx="62147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A294589-5ACA-A541-B9B0-62EF09E783D2}"/>
            </a:ext>
          </a:extLst>
        </xdr:cNvPr>
        <xdr:cNvSpPr txBox="1"/>
      </xdr:nvSpPr>
      <xdr:spPr>
        <a:xfrm>
          <a:off x="11684000" y="7086600"/>
          <a:ext cx="62020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177800</xdr:rowOff>
    </xdr:from>
    <xdr:to>
      <xdr:col>4</xdr:col>
      <xdr:colOff>1295400</xdr:colOff>
      <xdr:row>8</xdr:row>
      <xdr:rowOff>495300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1790700" y="4559300"/>
          <a:ext cx="499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1257300</xdr:colOff>
      <xdr:row>10</xdr:row>
      <xdr:rowOff>177800</xdr:rowOff>
    </xdr:from>
    <xdr:to>
      <xdr:col>6</xdr:col>
      <xdr:colOff>1257300</xdr:colOff>
      <xdr:row>10</xdr:row>
      <xdr:rowOff>495300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6743700" y="582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165100</xdr:rowOff>
    </xdr:from>
    <xdr:to>
      <xdr:col>4</xdr:col>
      <xdr:colOff>1308100</xdr:colOff>
      <xdr:row>12</xdr:row>
      <xdr:rowOff>482600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1803400" y="7086600"/>
          <a:ext cx="499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1270000</xdr:colOff>
      <xdr:row>14</xdr:row>
      <xdr:rowOff>177800</xdr:rowOff>
    </xdr:from>
    <xdr:to>
      <xdr:col>6</xdr:col>
      <xdr:colOff>1257300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6756400" y="836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2</xdr:col>
      <xdr:colOff>1257299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29F40-C57A-E745-8764-5B6AD1401B85}"/>
            </a:ext>
          </a:extLst>
        </xdr:cNvPr>
        <xdr:cNvSpPr txBox="1"/>
      </xdr:nvSpPr>
      <xdr:spPr>
        <a:xfrm>
          <a:off x="546100" y="455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52EBC0-14E5-0540-A1FE-BC78875A344B}"/>
            </a:ext>
          </a:extLst>
        </xdr:cNvPr>
        <xdr:cNvSpPr txBox="1"/>
      </xdr:nvSpPr>
      <xdr:spPr>
        <a:xfrm>
          <a:off x="558800" y="5829300"/>
          <a:ext cx="12445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1269999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CBEFA-26F3-624B-AAE3-EF88D211BE36}"/>
            </a:ext>
          </a:extLst>
        </xdr:cNvPr>
        <xdr:cNvSpPr txBox="1"/>
      </xdr:nvSpPr>
      <xdr:spPr>
        <a:xfrm>
          <a:off x="558800" y="708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3EE35D-E652-4C40-8B05-641CA31BF327}"/>
            </a:ext>
          </a:extLst>
        </xdr:cNvPr>
        <xdr:cNvSpPr txBox="1"/>
      </xdr:nvSpPr>
      <xdr:spPr>
        <a:xfrm>
          <a:off x="546100" y="8369300"/>
          <a:ext cx="12445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2463800</xdr:colOff>
      <xdr:row>1</xdr:row>
      <xdr:rowOff>563130</xdr:rowOff>
    </xdr:from>
    <xdr:to>
      <xdr:col>8</xdr:col>
      <xdr:colOff>2133600</xdr:colOff>
      <xdr:row>3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88D2C6-1E0E-C926-D521-74332CE2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9700" y="753630"/>
          <a:ext cx="2146300" cy="10243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1257300</xdr:colOff>
      <xdr:row>6</xdr:row>
      <xdr:rowOff>165100</xdr:rowOff>
    </xdr:from>
    <xdr:to>
      <xdr:col>4</xdr:col>
      <xdr:colOff>1193800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1790700" y="3276600"/>
          <a:ext cx="488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177800</xdr:rowOff>
    </xdr:from>
    <xdr:to>
      <xdr:col>4</xdr:col>
      <xdr:colOff>1257300</xdr:colOff>
      <xdr:row>10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1790700" y="582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4</xdr:col>
      <xdr:colOff>1155700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1803400" y="8369300"/>
          <a:ext cx="483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8</xdr:row>
      <xdr:rowOff>165100</xdr:rowOff>
    </xdr:from>
    <xdr:to>
      <xdr:col>6</xdr:col>
      <xdr:colOff>1193800</xdr:colOff>
      <xdr:row>8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6705600" y="4546600"/>
          <a:ext cx="492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12</xdr:row>
      <xdr:rowOff>165100</xdr:rowOff>
    </xdr:from>
    <xdr:to>
      <xdr:col>6</xdr:col>
      <xdr:colOff>1181100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6692900" y="7086600"/>
          <a:ext cx="492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6</xdr:row>
      <xdr:rowOff>165100</xdr:rowOff>
    </xdr:from>
    <xdr:to>
      <xdr:col>6</xdr:col>
      <xdr:colOff>1206500</xdr:colOff>
      <xdr:row>6</xdr:row>
      <xdr:rowOff>482599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6680200" y="3276600"/>
          <a:ext cx="496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177800</xdr:rowOff>
    </xdr:from>
    <xdr:to>
      <xdr:col>4</xdr:col>
      <xdr:colOff>1219200</xdr:colOff>
      <xdr:row>8</xdr:row>
      <xdr:rowOff>482600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ADF9C4C-814C-B04D-8835-93DAEC7DACDC}"/>
            </a:ext>
          </a:extLst>
        </xdr:cNvPr>
        <xdr:cNvSpPr txBox="1"/>
      </xdr:nvSpPr>
      <xdr:spPr>
        <a:xfrm>
          <a:off x="1790700" y="4559300"/>
          <a:ext cx="4914900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10</xdr:row>
      <xdr:rowOff>177801</xdr:rowOff>
    </xdr:from>
    <xdr:to>
      <xdr:col>6</xdr:col>
      <xdr:colOff>1155700</xdr:colOff>
      <xdr:row>10</xdr:row>
      <xdr:rowOff>495301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6731000" y="5829301"/>
          <a:ext cx="486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165100</xdr:rowOff>
    </xdr:from>
    <xdr:to>
      <xdr:col>4</xdr:col>
      <xdr:colOff>1206500</xdr:colOff>
      <xdr:row>12</xdr:row>
      <xdr:rowOff>489503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7274644-F49E-0145-88D8-E6DCAC3D9DF5}"/>
            </a:ext>
          </a:extLst>
        </xdr:cNvPr>
        <xdr:cNvSpPr txBox="1"/>
      </xdr:nvSpPr>
      <xdr:spPr>
        <a:xfrm>
          <a:off x="1790700" y="7086600"/>
          <a:ext cx="490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14</xdr:row>
      <xdr:rowOff>177800</xdr:rowOff>
    </xdr:from>
    <xdr:to>
      <xdr:col>6</xdr:col>
      <xdr:colOff>1206500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48B67A-CAE3-2E48-9238-77F443715451}"/>
            </a:ext>
          </a:extLst>
        </xdr:cNvPr>
        <xdr:cNvSpPr txBox="1"/>
      </xdr:nvSpPr>
      <xdr:spPr>
        <a:xfrm>
          <a:off x="6642100" y="8369300"/>
          <a:ext cx="50038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1193800</xdr:colOff>
      <xdr:row>8</xdr:row>
      <xdr:rowOff>165100</xdr:rowOff>
    </xdr:from>
    <xdr:to>
      <xdr:col>9</xdr:col>
      <xdr:colOff>11595</xdr:colOff>
      <xdr:row>8</xdr:row>
      <xdr:rowOff>482600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A536EE4-CB1C-D14A-8BD9-B260F5011502}"/>
            </a:ext>
          </a:extLst>
        </xdr:cNvPr>
        <xdr:cNvSpPr txBox="1"/>
      </xdr:nvSpPr>
      <xdr:spPr>
        <a:xfrm>
          <a:off x="11633200" y="4546600"/>
          <a:ext cx="62472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1181100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11620500" y="7086600"/>
          <a:ext cx="62472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1219200</xdr:colOff>
      <xdr:row>6</xdr:row>
      <xdr:rowOff>165100</xdr:rowOff>
    </xdr:from>
    <xdr:to>
      <xdr:col>9</xdr:col>
      <xdr:colOff>4418</xdr:colOff>
      <xdr:row>6</xdr:row>
      <xdr:rowOff>482599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807B176-30CF-744E-8473-6A20B4150750}"/>
            </a:ext>
          </a:extLst>
        </xdr:cNvPr>
        <xdr:cNvSpPr txBox="1"/>
      </xdr:nvSpPr>
      <xdr:spPr>
        <a:xfrm>
          <a:off x="11658600" y="3276600"/>
          <a:ext cx="62147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1155700</xdr:colOff>
      <xdr:row>10</xdr:row>
      <xdr:rowOff>177800</xdr:rowOff>
    </xdr:from>
    <xdr:to>
      <xdr:col>9</xdr:col>
      <xdr:colOff>17118</xdr:colOff>
      <xdr:row>10</xdr:row>
      <xdr:rowOff>495299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A8BC0E6-4E88-054F-9FB0-2F6000C9DC7C}"/>
            </a:ext>
          </a:extLst>
        </xdr:cNvPr>
        <xdr:cNvSpPr txBox="1"/>
      </xdr:nvSpPr>
      <xdr:spPr>
        <a:xfrm>
          <a:off x="11595100" y="5829300"/>
          <a:ext cx="62909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165100</xdr:rowOff>
    </xdr:from>
    <xdr:to>
      <xdr:col>2</xdr:col>
      <xdr:colOff>1257299</xdr:colOff>
      <xdr:row>6</xdr:row>
      <xdr:rowOff>482599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A13668-A88E-B447-8174-C2F49AE22B3C}"/>
            </a:ext>
          </a:extLst>
        </xdr:cNvPr>
        <xdr:cNvSpPr txBox="1"/>
      </xdr:nvSpPr>
      <xdr:spPr>
        <a:xfrm>
          <a:off x="546100" y="327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177801</xdr:rowOff>
    </xdr:from>
    <xdr:to>
      <xdr:col>2</xdr:col>
      <xdr:colOff>1257299</xdr:colOff>
      <xdr:row>8</xdr:row>
      <xdr:rowOff>482601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23DFA-B168-7442-BAFD-3C9D388E929D}"/>
            </a:ext>
          </a:extLst>
        </xdr:cNvPr>
        <xdr:cNvSpPr txBox="1"/>
      </xdr:nvSpPr>
      <xdr:spPr>
        <a:xfrm>
          <a:off x="546100" y="4559301"/>
          <a:ext cx="1244599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2</xdr:col>
      <xdr:colOff>1257299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A34AC9-7076-6E4B-8718-F7CB671F86FE}"/>
            </a:ext>
          </a:extLst>
        </xdr:cNvPr>
        <xdr:cNvSpPr txBox="1"/>
      </xdr:nvSpPr>
      <xdr:spPr>
        <a:xfrm>
          <a:off x="546100" y="582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1269999</xdr:colOff>
      <xdr:row>12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877CF7-BBF8-714E-8A90-6DD7993D2EA0}"/>
            </a:ext>
          </a:extLst>
        </xdr:cNvPr>
        <xdr:cNvSpPr txBox="1"/>
      </xdr:nvSpPr>
      <xdr:spPr>
        <a:xfrm>
          <a:off x="558800" y="7086600"/>
          <a:ext cx="1244599" cy="3301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1269999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A1C809-9470-1241-B1E5-BCAD2FC7AA1E}"/>
            </a:ext>
          </a:extLst>
        </xdr:cNvPr>
        <xdr:cNvSpPr txBox="1"/>
      </xdr:nvSpPr>
      <xdr:spPr>
        <a:xfrm>
          <a:off x="558800" y="836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25400</xdr:colOff>
      <xdr:row>1</xdr:row>
      <xdr:rowOff>647700</xdr:rowOff>
    </xdr:from>
    <xdr:to>
      <xdr:col>8</xdr:col>
      <xdr:colOff>2171700</xdr:colOff>
      <xdr:row>3</xdr:row>
      <xdr:rowOff>465570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AAD3CA4-46EC-4249-984B-D75631E0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7800" y="838200"/>
          <a:ext cx="2146300" cy="10243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1193800</xdr:colOff>
      <xdr:row>6</xdr:row>
      <xdr:rowOff>177801</xdr:rowOff>
    </xdr:from>
    <xdr:to>
      <xdr:col>6</xdr:col>
      <xdr:colOff>1244600</xdr:colOff>
      <xdr:row>6</xdr:row>
      <xdr:rowOff>495301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6680200" y="3289301"/>
          <a:ext cx="500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10</xdr:row>
      <xdr:rowOff>177801</xdr:rowOff>
    </xdr:from>
    <xdr:to>
      <xdr:col>6</xdr:col>
      <xdr:colOff>1244600</xdr:colOff>
      <xdr:row>10</xdr:row>
      <xdr:rowOff>495301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6692900" y="5829301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165100</xdr:rowOff>
    </xdr:from>
    <xdr:to>
      <xdr:col>4</xdr:col>
      <xdr:colOff>1193800</xdr:colOff>
      <xdr:row>12</xdr:row>
      <xdr:rowOff>489503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B7174D0-0E7C-6840-AA45-AD264D70AA39}"/>
            </a:ext>
          </a:extLst>
        </xdr:cNvPr>
        <xdr:cNvSpPr txBox="1"/>
      </xdr:nvSpPr>
      <xdr:spPr>
        <a:xfrm>
          <a:off x="1816100" y="7086600"/>
          <a:ext cx="48641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6</xdr:row>
      <xdr:rowOff>177800</xdr:rowOff>
    </xdr:from>
    <xdr:to>
      <xdr:col>9</xdr:col>
      <xdr:colOff>17118</xdr:colOff>
      <xdr:row>6</xdr:row>
      <xdr:rowOff>495299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022E6C6-07A3-5F43-B94E-8744B2B3B961}"/>
            </a:ext>
          </a:extLst>
        </xdr:cNvPr>
        <xdr:cNvSpPr txBox="1"/>
      </xdr:nvSpPr>
      <xdr:spPr>
        <a:xfrm>
          <a:off x="11684000" y="3289300"/>
          <a:ext cx="62020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10</xdr:row>
      <xdr:rowOff>177800</xdr:rowOff>
    </xdr:from>
    <xdr:to>
      <xdr:col>9</xdr:col>
      <xdr:colOff>4418</xdr:colOff>
      <xdr:row>10</xdr:row>
      <xdr:rowOff>495299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5D9CC53-BE8E-4646-8CD0-D3B034BED3EA}"/>
            </a:ext>
          </a:extLst>
        </xdr:cNvPr>
        <xdr:cNvSpPr txBox="1"/>
      </xdr:nvSpPr>
      <xdr:spPr>
        <a:xfrm>
          <a:off x="11671300" y="5829300"/>
          <a:ext cx="62020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8</xdr:row>
      <xdr:rowOff>190500</xdr:rowOff>
    </xdr:from>
    <xdr:to>
      <xdr:col>6</xdr:col>
      <xdr:colOff>1231900</xdr:colOff>
      <xdr:row>8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6680200" y="4572000"/>
          <a:ext cx="499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177800</xdr:rowOff>
    </xdr:from>
    <xdr:to>
      <xdr:col>4</xdr:col>
      <xdr:colOff>1206500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1816100" y="58293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12</xdr:row>
      <xdr:rowOff>165100</xdr:rowOff>
    </xdr:from>
    <xdr:to>
      <xdr:col>6</xdr:col>
      <xdr:colOff>1270000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6692900" y="7086600"/>
          <a:ext cx="501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190501</xdr:rowOff>
    </xdr:from>
    <xdr:to>
      <xdr:col>4</xdr:col>
      <xdr:colOff>1181100</xdr:colOff>
      <xdr:row>8</xdr:row>
      <xdr:rowOff>495301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2EBAB55-486C-744D-8425-943F326FFF04}"/>
            </a:ext>
          </a:extLst>
        </xdr:cNvPr>
        <xdr:cNvSpPr txBox="1"/>
      </xdr:nvSpPr>
      <xdr:spPr>
        <a:xfrm>
          <a:off x="1790700" y="4572001"/>
          <a:ext cx="4876800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8</xdr:row>
      <xdr:rowOff>190500</xdr:rowOff>
    </xdr:from>
    <xdr:to>
      <xdr:col>8</xdr:col>
      <xdr:colOff>2475395</xdr:colOff>
      <xdr:row>8</xdr:row>
      <xdr:rowOff>508000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517B8E-23E0-1E45-9EB7-6F554E12DCBB}"/>
            </a:ext>
          </a:extLst>
        </xdr:cNvPr>
        <xdr:cNvSpPr txBox="1"/>
      </xdr:nvSpPr>
      <xdr:spPr>
        <a:xfrm>
          <a:off x="11671300" y="4572000"/>
          <a:ext cx="61964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1257300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4721A6D-581E-894F-B7CC-46E97DBE2595}"/>
            </a:ext>
          </a:extLst>
        </xdr:cNvPr>
        <xdr:cNvSpPr txBox="1"/>
      </xdr:nvSpPr>
      <xdr:spPr>
        <a:xfrm>
          <a:off x="11696700" y="7086600"/>
          <a:ext cx="6171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14</xdr:row>
      <xdr:rowOff>177800</xdr:rowOff>
    </xdr:from>
    <xdr:to>
      <xdr:col>4</xdr:col>
      <xdr:colOff>1244600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1790700" y="836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14</xdr:row>
      <xdr:rowOff>177800</xdr:rowOff>
    </xdr:from>
    <xdr:to>
      <xdr:col>6</xdr:col>
      <xdr:colOff>1193800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6731000" y="8369300"/>
          <a:ext cx="490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14</xdr:row>
      <xdr:rowOff>177800</xdr:rowOff>
    </xdr:from>
    <xdr:to>
      <xdr:col>9</xdr:col>
      <xdr:colOff>17118</xdr:colOff>
      <xdr:row>14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B4DA92C-BCBD-2B49-A3DA-59EF1C6765D9}"/>
            </a:ext>
          </a:extLst>
        </xdr:cNvPr>
        <xdr:cNvSpPr txBox="1"/>
      </xdr:nvSpPr>
      <xdr:spPr>
        <a:xfrm>
          <a:off x="11645900" y="8369300"/>
          <a:ext cx="62401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2</xdr:col>
      <xdr:colOff>1257299</xdr:colOff>
      <xdr:row>8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8B53C-DB8B-1347-ABED-8075D75705A7}"/>
            </a:ext>
          </a:extLst>
        </xdr:cNvPr>
        <xdr:cNvSpPr txBox="1"/>
      </xdr:nvSpPr>
      <xdr:spPr>
        <a:xfrm>
          <a:off x="546100" y="4572000"/>
          <a:ext cx="1244599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6F0884-F18F-C944-B5AB-C2D6A4F0B5B7}"/>
            </a:ext>
          </a:extLst>
        </xdr:cNvPr>
        <xdr:cNvSpPr txBox="1"/>
      </xdr:nvSpPr>
      <xdr:spPr>
        <a:xfrm>
          <a:off x="558800" y="582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2</xdr:col>
      <xdr:colOff>1269999</xdr:colOff>
      <xdr:row>12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AEFC51-945C-AF48-B1D3-C9EF86FD2D3A}"/>
            </a:ext>
          </a:extLst>
        </xdr:cNvPr>
        <xdr:cNvSpPr txBox="1"/>
      </xdr:nvSpPr>
      <xdr:spPr>
        <a:xfrm>
          <a:off x="558800" y="7073900"/>
          <a:ext cx="1244599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4270C4-E118-3049-8C4E-FADCA2A36A18}"/>
            </a:ext>
          </a:extLst>
        </xdr:cNvPr>
        <xdr:cNvSpPr txBox="1"/>
      </xdr:nvSpPr>
      <xdr:spPr>
        <a:xfrm>
          <a:off x="546100" y="836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2463800</xdr:colOff>
      <xdr:row>1</xdr:row>
      <xdr:rowOff>622300</xdr:rowOff>
    </xdr:from>
    <xdr:to>
      <xdr:col>8</xdr:col>
      <xdr:colOff>2133600</xdr:colOff>
      <xdr:row>3</xdr:row>
      <xdr:rowOff>440170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68FB8C-ECAD-0440-B459-BB61FD1E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9700" y="812800"/>
          <a:ext cx="2146300" cy="10243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1206500</xdr:colOff>
      <xdr:row>6</xdr:row>
      <xdr:rowOff>177800</xdr:rowOff>
    </xdr:from>
    <xdr:to>
      <xdr:col>8</xdr:col>
      <xdr:colOff>2470335</xdr:colOff>
      <xdr:row>6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4AE623-F845-0040-B99F-33E1D33B8590}"/>
            </a:ext>
          </a:extLst>
        </xdr:cNvPr>
        <xdr:cNvSpPr txBox="1"/>
      </xdr:nvSpPr>
      <xdr:spPr>
        <a:xfrm>
          <a:off x="11645900" y="3289300"/>
          <a:ext cx="62168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10</xdr:row>
      <xdr:rowOff>165100</xdr:rowOff>
    </xdr:from>
    <xdr:to>
      <xdr:col>8</xdr:col>
      <xdr:colOff>2457635</xdr:colOff>
      <xdr:row>10</xdr:row>
      <xdr:rowOff>482599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88DE3BC-A40F-0643-9F5D-715DCF2180F5}"/>
            </a:ext>
          </a:extLst>
        </xdr:cNvPr>
        <xdr:cNvSpPr txBox="1"/>
      </xdr:nvSpPr>
      <xdr:spPr>
        <a:xfrm>
          <a:off x="11671300" y="5816600"/>
          <a:ext cx="61787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14</xdr:row>
      <xdr:rowOff>177800</xdr:rowOff>
    </xdr:from>
    <xdr:to>
      <xdr:col>8</xdr:col>
      <xdr:colOff>2444935</xdr:colOff>
      <xdr:row>14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8BD7ED9-C828-824E-8987-202247802BC5}"/>
            </a:ext>
          </a:extLst>
        </xdr:cNvPr>
        <xdr:cNvSpPr txBox="1"/>
      </xdr:nvSpPr>
      <xdr:spPr>
        <a:xfrm>
          <a:off x="11684000" y="8369300"/>
          <a:ext cx="61533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1282700</xdr:colOff>
      <xdr:row>8</xdr:row>
      <xdr:rowOff>177800</xdr:rowOff>
    </xdr:from>
    <xdr:to>
      <xdr:col>8</xdr:col>
      <xdr:colOff>2456436</xdr:colOff>
      <xdr:row>8</xdr:row>
      <xdr:rowOff>495299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9DEC75-BCAE-1742-BFC3-04B5BBC0BEE7}"/>
            </a:ext>
          </a:extLst>
        </xdr:cNvPr>
        <xdr:cNvSpPr txBox="1"/>
      </xdr:nvSpPr>
      <xdr:spPr>
        <a:xfrm>
          <a:off x="11722100" y="4559300"/>
          <a:ext cx="61267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1257300</xdr:colOff>
      <xdr:row>12</xdr:row>
      <xdr:rowOff>165100</xdr:rowOff>
    </xdr:from>
    <xdr:to>
      <xdr:col>9</xdr:col>
      <xdr:colOff>5336</xdr:colOff>
      <xdr:row>12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F94F151-DEFE-A14B-AF92-74B355698001}"/>
            </a:ext>
          </a:extLst>
        </xdr:cNvPr>
        <xdr:cNvSpPr txBox="1"/>
      </xdr:nvSpPr>
      <xdr:spPr>
        <a:xfrm>
          <a:off x="11696700" y="7086600"/>
          <a:ext cx="61775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10</xdr:row>
      <xdr:rowOff>165100</xdr:rowOff>
    </xdr:from>
    <xdr:to>
      <xdr:col>4</xdr:col>
      <xdr:colOff>1193800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1778000" y="58166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4</xdr:col>
      <xdr:colOff>1168400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1803400" y="8369300"/>
          <a:ext cx="485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12</xdr:row>
      <xdr:rowOff>165100</xdr:rowOff>
    </xdr:from>
    <xdr:to>
      <xdr:col>6</xdr:col>
      <xdr:colOff>1270000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6654800" y="7086600"/>
          <a:ext cx="505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8</xdr:row>
      <xdr:rowOff>177800</xdr:rowOff>
    </xdr:from>
    <xdr:to>
      <xdr:col>6</xdr:col>
      <xdr:colOff>1282700</xdr:colOff>
      <xdr:row>8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6654800" y="4559300"/>
          <a:ext cx="506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10</xdr:row>
      <xdr:rowOff>165100</xdr:rowOff>
    </xdr:from>
    <xdr:to>
      <xdr:col>6</xdr:col>
      <xdr:colOff>1231900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6680200" y="58166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8</xdr:row>
      <xdr:rowOff>177800</xdr:rowOff>
    </xdr:from>
    <xdr:to>
      <xdr:col>4</xdr:col>
      <xdr:colOff>1168400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1803400" y="4559300"/>
          <a:ext cx="485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165100</xdr:rowOff>
    </xdr:from>
    <xdr:to>
      <xdr:col>4</xdr:col>
      <xdr:colOff>1168400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2163A74-3965-964E-B64E-A75707242AB1}"/>
            </a:ext>
          </a:extLst>
        </xdr:cNvPr>
        <xdr:cNvSpPr txBox="1"/>
      </xdr:nvSpPr>
      <xdr:spPr>
        <a:xfrm>
          <a:off x="1790700" y="7086600"/>
          <a:ext cx="486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14</xdr:row>
      <xdr:rowOff>177800</xdr:rowOff>
    </xdr:from>
    <xdr:to>
      <xdr:col>6</xdr:col>
      <xdr:colOff>1244600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6642100" y="8369300"/>
          <a:ext cx="504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74301DA-3A4C-1347-A8FC-26117B90FA0C}"/>
            </a:ext>
          </a:extLst>
        </xdr:cNvPr>
        <xdr:cNvSpPr txBox="1"/>
      </xdr:nvSpPr>
      <xdr:spPr>
        <a:xfrm>
          <a:off x="1803400" y="96774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2</xdr:col>
      <xdr:colOff>1257299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31D15-8C13-BC48-A018-9A19ECFA37F5}"/>
            </a:ext>
          </a:extLst>
        </xdr:cNvPr>
        <xdr:cNvSpPr txBox="1"/>
      </xdr:nvSpPr>
      <xdr:spPr>
        <a:xfrm>
          <a:off x="546100" y="4559300"/>
          <a:ext cx="12445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2</xdr:col>
      <xdr:colOff>1257299</xdr:colOff>
      <xdr:row>10</xdr:row>
      <xdr:rowOff>482600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46100" y="581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1257299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099DB7-6150-574D-8444-B4A92B8C1707}"/>
            </a:ext>
          </a:extLst>
        </xdr:cNvPr>
        <xdr:cNvSpPr txBox="1"/>
      </xdr:nvSpPr>
      <xdr:spPr>
        <a:xfrm>
          <a:off x="546100" y="7086600"/>
          <a:ext cx="12445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1269999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58800" y="836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215900</xdr:rowOff>
    </xdr:from>
    <xdr:to>
      <xdr:col>2</xdr:col>
      <xdr:colOff>1269999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49486E-F977-B042-9DD7-EDF1B8354B4A}"/>
            </a:ext>
          </a:extLst>
        </xdr:cNvPr>
        <xdr:cNvSpPr txBox="1"/>
      </xdr:nvSpPr>
      <xdr:spPr>
        <a:xfrm>
          <a:off x="558800" y="9677400"/>
          <a:ext cx="12445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63500</xdr:colOff>
      <xdr:row>1</xdr:row>
      <xdr:rowOff>622300</xdr:rowOff>
    </xdr:from>
    <xdr:to>
      <xdr:col>8</xdr:col>
      <xdr:colOff>2209800</xdr:colOff>
      <xdr:row>3</xdr:row>
      <xdr:rowOff>440170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45EAB45-C437-E347-A202-708785EE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5900" y="812800"/>
          <a:ext cx="2146300" cy="10243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1206500</xdr:colOff>
      <xdr:row>6</xdr:row>
      <xdr:rowOff>165100</xdr:rowOff>
    </xdr:from>
    <xdr:to>
      <xdr:col>4</xdr:col>
      <xdr:colOff>1193800</xdr:colOff>
      <xdr:row>6</xdr:row>
      <xdr:rowOff>482600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56BDCE8-E3AC-B84F-A837-E27C04C24008}"/>
            </a:ext>
          </a:extLst>
        </xdr:cNvPr>
        <xdr:cNvSpPr txBox="1"/>
      </xdr:nvSpPr>
      <xdr:spPr>
        <a:xfrm>
          <a:off x="1739900" y="32766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4</xdr:col>
      <xdr:colOff>1206500</xdr:colOff>
      <xdr:row>10</xdr:row>
      <xdr:rowOff>495300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8C63E75-C2FB-EA4C-99EA-AB4487F4E5F9}"/>
            </a:ext>
          </a:extLst>
        </xdr:cNvPr>
        <xdr:cNvSpPr txBox="1"/>
      </xdr:nvSpPr>
      <xdr:spPr>
        <a:xfrm>
          <a:off x="1803400" y="58293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4</xdr:col>
      <xdr:colOff>1206500</xdr:colOff>
      <xdr:row>14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678F4A4-8AC6-AD45-A021-92BDC7AB5894}"/>
            </a:ext>
          </a:extLst>
        </xdr:cNvPr>
        <xdr:cNvSpPr txBox="1"/>
      </xdr:nvSpPr>
      <xdr:spPr>
        <a:xfrm>
          <a:off x="1803400" y="83693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12</xdr:row>
      <xdr:rowOff>165100</xdr:rowOff>
    </xdr:from>
    <xdr:to>
      <xdr:col>6</xdr:col>
      <xdr:colOff>1231900</xdr:colOff>
      <xdr:row>12</xdr:row>
      <xdr:rowOff>482600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6680200" y="70866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8</xdr:row>
      <xdr:rowOff>177800</xdr:rowOff>
    </xdr:from>
    <xdr:to>
      <xdr:col>6</xdr:col>
      <xdr:colOff>1193800</xdr:colOff>
      <xdr:row>8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6692900" y="45593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6</xdr:row>
      <xdr:rowOff>165100</xdr:rowOff>
    </xdr:from>
    <xdr:to>
      <xdr:col>6</xdr:col>
      <xdr:colOff>1193800</xdr:colOff>
      <xdr:row>6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6692900" y="3276600"/>
          <a:ext cx="4940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177800</xdr:rowOff>
    </xdr:from>
    <xdr:to>
      <xdr:col>4</xdr:col>
      <xdr:colOff>1206500</xdr:colOff>
      <xdr:row>8</xdr:row>
      <xdr:rowOff>495299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1790700" y="4559300"/>
          <a:ext cx="490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10</xdr:row>
      <xdr:rowOff>177800</xdr:rowOff>
    </xdr:from>
    <xdr:to>
      <xdr:col>6</xdr:col>
      <xdr:colOff>1244600</xdr:colOff>
      <xdr:row>10</xdr:row>
      <xdr:rowOff>495299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6705600" y="5829300"/>
          <a:ext cx="497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165100</xdr:rowOff>
    </xdr:from>
    <xdr:to>
      <xdr:col>4</xdr:col>
      <xdr:colOff>1206500</xdr:colOff>
      <xdr:row>12</xdr:row>
      <xdr:rowOff>482599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1790700" y="7086600"/>
          <a:ext cx="490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14</xdr:row>
      <xdr:rowOff>177800</xdr:rowOff>
    </xdr:from>
    <xdr:to>
      <xdr:col>6</xdr:col>
      <xdr:colOff>1282700</xdr:colOff>
      <xdr:row>14</xdr:row>
      <xdr:rowOff>495299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6692900" y="8369300"/>
          <a:ext cx="5029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1193800</xdr:colOff>
      <xdr:row>6</xdr:row>
      <xdr:rowOff>165100</xdr:rowOff>
    </xdr:from>
    <xdr:to>
      <xdr:col>9</xdr:col>
      <xdr:colOff>18036</xdr:colOff>
      <xdr:row>6</xdr:row>
      <xdr:rowOff>482599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11633200" y="3276600"/>
          <a:ext cx="62537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10</xdr:row>
      <xdr:rowOff>177800</xdr:rowOff>
    </xdr:from>
    <xdr:to>
      <xdr:col>8</xdr:col>
      <xdr:colOff>2469136</xdr:colOff>
      <xdr:row>10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781C92D-0B34-F54D-9B4C-1951FDFF4BCE}"/>
            </a:ext>
          </a:extLst>
        </xdr:cNvPr>
        <xdr:cNvSpPr txBox="1"/>
      </xdr:nvSpPr>
      <xdr:spPr>
        <a:xfrm>
          <a:off x="11684000" y="5829300"/>
          <a:ext cx="61775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8</xdr:row>
      <xdr:rowOff>177800</xdr:rowOff>
    </xdr:from>
    <xdr:to>
      <xdr:col>9</xdr:col>
      <xdr:colOff>13805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138CA3A-3991-E34E-9D09-626B9FF99D51}"/>
            </a:ext>
          </a:extLst>
        </xdr:cNvPr>
        <xdr:cNvSpPr txBox="1"/>
      </xdr:nvSpPr>
      <xdr:spPr>
        <a:xfrm>
          <a:off x="11645900" y="4559300"/>
          <a:ext cx="62368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12</xdr:row>
      <xdr:rowOff>165100</xdr:rowOff>
    </xdr:from>
    <xdr:to>
      <xdr:col>9</xdr:col>
      <xdr:colOff>26505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D1F764C-A7BE-544F-99AB-9EFEF8AAC3C9}"/>
            </a:ext>
          </a:extLst>
        </xdr:cNvPr>
        <xdr:cNvSpPr txBox="1"/>
      </xdr:nvSpPr>
      <xdr:spPr>
        <a:xfrm>
          <a:off x="11671300" y="7086600"/>
          <a:ext cx="62241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1269999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455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8A1E3D-7062-BE4E-B3F9-3FC5528D2AD5}"/>
            </a:ext>
          </a:extLst>
        </xdr:cNvPr>
        <xdr:cNvSpPr txBox="1"/>
      </xdr:nvSpPr>
      <xdr:spPr>
        <a:xfrm>
          <a:off x="558800" y="5829300"/>
          <a:ext cx="12445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1257299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C3F732-76E8-A842-B090-14C8CB05E2D3}"/>
            </a:ext>
          </a:extLst>
        </xdr:cNvPr>
        <xdr:cNvSpPr txBox="1"/>
      </xdr:nvSpPr>
      <xdr:spPr>
        <a:xfrm>
          <a:off x="546100" y="708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3B73DD-20B2-5A43-A6A0-472427F5E44F}"/>
            </a:ext>
          </a:extLst>
        </xdr:cNvPr>
        <xdr:cNvSpPr txBox="1"/>
      </xdr:nvSpPr>
      <xdr:spPr>
        <a:xfrm>
          <a:off x="546100" y="8369300"/>
          <a:ext cx="12445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63500</xdr:colOff>
      <xdr:row>1</xdr:row>
      <xdr:rowOff>660400</xdr:rowOff>
    </xdr:from>
    <xdr:to>
      <xdr:col>8</xdr:col>
      <xdr:colOff>2209800</xdr:colOff>
      <xdr:row>3</xdr:row>
      <xdr:rowOff>478270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B9A98B-BA6D-794E-AAF4-CFFCFEC53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5900" y="850900"/>
          <a:ext cx="2146300" cy="10243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1270000</xdr:colOff>
      <xdr:row>6</xdr:row>
      <xdr:rowOff>165100</xdr:rowOff>
    </xdr:from>
    <xdr:to>
      <xdr:col>9</xdr:col>
      <xdr:colOff>5336</xdr:colOff>
      <xdr:row>6</xdr:row>
      <xdr:rowOff>482599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E24310-D602-7540-B1CD-8DA893B7D18F}"/>
            </a:ext>
          </a:extLst>
        </xdr:cNvPr>
        <xdr:cNvSpPr txBox="1"/>
      </xdr:nvSpPr>
      <xdr:spPr>
        <a:xfrm>
          <a:off x="11709400" y="3276600"/>
          <a:ext cx="61648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10</xdr:row>
      <xdr:rowOff>177800</xdr:rowOff>
    </xdr:from>
    <xdr:to>
      <xdr:col>8</xdr:col>
      <xdr:colOff>2469136</xdr:colOff>
      <xdr:row>10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F476E43-75C5-184E-B9E6-534119783A4D}"/>
            </a:ext>
          </a:extLst>
        </xdr:cNvPr>
        <xdr:cNvSpPr txBox="1"/>
      </xdr:nvSpPr>
      <xdr:spPr>
        <a:xfrm>
          <a:off x="11645900" y="5829300"/>
          <a:ext cx="62156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1257300</xdr:colOff>
      <xdr:row>14</xdr:row>
      <xdr:rowOff>177800</xdr:rowOff>
    </xdr:from>
    <xdr:to>
      <xdr:col>9</xdr:col>
      <xdr:colOff>18036</xdr:colOff>
      <xdr:row>14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C3C26B-180C-8840-A8A2-27CC39B220C9}"/>
            </a:ext>
          </a:extLst>
        </xdr:cNvPr>
        <xdr:cNvSpPr txBox="1"/>
      </xdr:nvSpPr>
      <xdr:spPr>
        <a:xfrm>
          <a:off x="11696700" y="8369300"/>
          <a:ext cx="61902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1219200</xdr:colOff>
      <xdr:row>8</xdr:row>
      <xdr:rowOff>177800</xdr:rowOff>
    </xdr:from>
    <xdr:to>
      <xdr:col>8</xdr:col>
      <xdr:colOff>2468218</xdr:colOff>
      <xdr:row>8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DD5866-3EBC-5747-9606-BA29396F2258}"/>
            </a:ext>
          </a:extLst>
        </xdr:cNvPr>
        <xdr:cNvSpPr txBox="1"/>
      </xdr:nvSpPr>
      <xdr:spPr>
        <a:xfrm>
          <a:off x="11658600" y="4559300"/>
          <a:ext cx="62020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12</xdr:row>
      <xdr:rowOff>165100</xdr:rowOff>
    </xdr:from>
    <xdr:to>
      <xdr:col>9</xdr:col>
      <xdr:colOff>4418</xdr:colOff>
      <xdr:row>12</xdr:row>
      <xdr:rowOff>482599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DC160DB-F537-F345-BFA0-92A8E17B38B1}"/>
            </a:ext>
          </a:extLst>
        </xdr:cNvPr>
        <xdr:cNvSpPr txBox="1"/>
      </xdr:nvSpPr>
      <xdr:spPr>
        <a:xfrm>
          <a:off x="11671300" y="7086600"/>
          <a:ext cx="62020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8</xdr:row>
      <xdr:rowOff>177800</xdr:rowOff>
    </xdr:from>
    <xdr:to>
      <xdr:col>6</xdr:col>
      <xdr:colOff>1231900</xdr:colOff>
      <xdr:row>8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6705600" y="4559300"/>
          <a:ext cx="49657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177801</xdr:rowOff>
    </xdr:from>
    <xdr:to>
      <xdr:col>4</xdr:col>
      <xdr:colOff>1193800</xdr:colOff>
      <xdr:row>10</xdr:row>
      <xdr:rowOff>495301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1816100" y="5829301"/>
          <a:ext cx="486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12</xdr:row>
      <xdr:rowOff>165101</xdr:rowOff>
    </xdr:from>
    <xdr:to>
      <xdr:col>6</xdr:col>
      <xdr:colOff>1219200</xdr:colOff>
      <xdr:row>12</xdr:row>
      <xdr:rowOff>482601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6731000" y="7086601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1295400</xdr:colOff>
      <xdr:row>14</xdr:row>
      <xdr:rowOff>177800</xdr:rowOff>
    </xdr:from>
    <xdr:to>
      <xdr:col>4</xdr:col>
      <xdr:colOff>1282700</xdr:colOff>
      <xdr:row>14</xdr:row>
      <xdr:rowOff>502203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FABEAD-F7F5-0545-9319-C9C32551533D}"/>
            </a:ext>
          </a:extLst>
        </xdr:cNvPr>
        <xdr:cNvSpPr txBox="1"/>
      </xdr:nvSpPr>
      <xdr:spPr>
        <a:xfrm>
          <a:off x="1828800" y="8369300"/>
          <a:ext cx="49403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177800</xdr:rowOff>
    </xdr:from>
    <xdr:to>
      <xdr:col>4</xdr:col>
      <xdr:colOff>1219200</xdr:colOff>
      <xdr:row>8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1790700" y="45593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10</xdr:row>
      <xdr:rowOff>177800</xdr:rowOff>
    </xdr:from>
    <xdr:to>
      <xdr:col>6</xdr:col>
      <xdr:colOff>1206500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6692900" y="582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165100</xdr:rowOff>
    </xdr:from>
    <xdr:to>
      <xdr:col>4</xdr:col>
      <xdr:colOff>1244600</xdr:colOff>
      <xdr:row>12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1803400" y="7086600"/>
          <a:ext cx="492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1282700</xdr:colOff>
      <xdr:row>14</xdr:row>
      <xdr:rowOff>177800</xdr:rowOff>
    </xdr:from>
    <xdr:to>
      <xdr:col>6</xdr:col>
      <xdr:colOff>1244600</xdr:colOff>
      <xdr:row>14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6769100" y="83693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0</xdr:colOff>
      <xdr:row>6</xdr:row>
      <xdr:rowOff>165100</xdr:rowOff>
    </xdr:from>
    <xdr:to>
      <xdr:col>6</xdr:col>
      <xdr:colOff>1257300</xdr:colOff>
      <xdr:row>6</xdr:row>
      <xdr:rowOff>482599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0439400" y="32766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2</xdr:col>
      <xdr:colOff>1257300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33400" y="455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1282700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C0DBF4-BD43-4B4E-A71A-B495F73E45A5}"/>
            </a:ext>
          </a:extLst>
        </xdr:cNvPr>
        <xdr:cNvSpPr txBox="1"/>
      </xdr:nvSpPr>
      <xdr:spPr>
        <a:xfrm>
          <a:off x="558800" y="58293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1270000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46100" y="708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1282700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1850A4-D2C4-8446-AE06-744D812B74D3}"/>
            </a:ext>
          </a:extLst>
        </xdr:cNvPr>
        <xdr:cNvSpPr txBox="1"/>
      </xdr:nvSpPr>
      <xdr:spPr>
        <a:xfrm>
          <a:off x="558800" y="83693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101600</xdr:colOff>
      <xdr:row>1</xdr:row>
      <xdr:rowOff>635000</xdr:rowOff>
    </xdr:from>
    <xdr:to>
      <xdr:col>8</xdr:col>
      <xdr:colOff>2247900</xdr:colOff>
      <xdr:row>3</xdr:row>
      <xdr:rowOff>452870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9AA5B1-00AE-374E-9D0D-E151350FF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4000" y="825500"/>
          <a:ext cx="2146300" cy="10243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1231900</xdr:colOff>
      <xdr:row>6</xdr:row>
      <xdr:rowOff>177800</xdr:rowOff>
    </xdr:from>
    <xdr:to>
      <xdr:col>9</xdr:col>
      <xdr:colOff>18036</xdr:colOff>
      <xdr:row>6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11671300" y="3289300"/>
          <a:ext cx="62156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1257300</xdr:colOff>
      <xdr:row>8</xdr:row>
      <xdr:rowOff>177800</xdr:rowOff>
    </xdr:from>
    <xdr:to>
      <xdr:col>6</xdr:col>
      <xdr:colOff>1193800</xdr:colOff>
      <xdr:row>8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6743700" y="45593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8</xdr:row>
      <xdr:rowOff>177800</xdr:rowOff>
    </xdr:from>
    <xdr:to>
      <xdr:col>9</xdr:col>
      <xdr:colOff>17118</xdr:colOff>
      <xdr:row>8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C38114C-F121-B04C-801A-A61809318DAF}"/>
            </a:ext>
          </a:extLst>
        </xdr:cNvPr>
        <xdr:cNvSpPr txBox="1"/>
      </xdr:nvSpPr>
      <xdr:spPr>
        <a:xfrm>
          <a:off x="11645900" y="4559300"/>
          <a:ext cx="62401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177800</xdr:rowOff>
    </xdr:from>
    <xdr:to>
      <xdr:col>4</xdr:col>
      <xdr:colOff>1231900</xdr:colOff>
      <xdr:row>10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E765E77-3244-734B-8B76-DB1859347A3C}"/>
            </a:ext>
          </a:extLst>
        </xdr:cNvPr>
        <xdr:cNvSpPr txBox="1"/>
      </xdr:nvSpPr>
      <xdr:spPr>
        <a:xfrm>
          <a:off x="1790700" y="58293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12</xdr:row>
      <xdr:rowOff>165100</xdr:rowOff>
    </xdr:from>
    <xdr:to>
      <xdr:col>6</xdr:col>
      <xdr:colOff>1244600</xdr:colOff>
      <xdr:row>12</xdr:row>
      <xdr:rowOff>482600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6731000" y="70866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14</xdr:row>
      <xdr:rowOff>177800</xdr:rowOff>
    </xdr:from>
    <xdr:to>
      <xdr:col>4</xdr:col>
      <xdr:colOff>1206500</xdr:colOff>
      <xdr:row>14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19C5105-90B8-FE49-991A-46DB5FD47F02}"/>
            </a:ext>
          </a:extLst>
        </xdr:cNvPr>
        <xdr:cNvSpPr txBox="1"/>
      </xdr:nvSpPr>
      <xdr:spPr>
        <a:xfrm>
          <a:off x="1816100" y="83693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8</xdr:row>
      <xdr:rowOff>177800</xdr:rowOff>
    </xdr:from>
    <xdr:to>
      <xdr:col>4</xdr:col>
      <xdr:colOff>1270000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1816100" y="455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10</xdr:row>
      <xdr:rowOff>177800</xdr:rowOff>
    </xdr:from>
    <xdr:to>
      <xdr:col>6</xdr:col>
      <xdr:colOff>1257300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352BF3-3648-6944-9BE6-3E656322D497}"/>
            </a:ext>
          </a:extLst>
        </xdr:cNvPr>
        <xdr:cNvSpPr txBox="1"/>
      </xdr:nvSpPr>
      <xdr:spPr>
        <a:xfrm>
          <a:off x="6718300" y="582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165100</xdr:rowOff>
    </xdr:from>
    <xdr:to>
      <xdr:col>4</xdr:col>
      <xdr:colOff>1244600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1816100" y="70866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14</xdr:row>
      <xdr:rowOff>177800</xdr:rowOff>
    </xdr:from>
    <xdr:to>
      <xdr:col>6</xdr:col>
      <xdr:colOff>1244600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EA60094-78AB-1940-BE51-C08F8B5D980F}"/>
            </a:ext>
          </a:extLst>
        </xdr:cNvPr>
        <xdr:cNvSpPr txBox="1"/>
      </xdr:nvSpPr>
      <xdr:spPr>
        <a:xfrm>
          <a:off x="6705600" y="836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1257300</xdr:colOff>
      <xdr:row>10</xdr:row>
      <xdr:rowOff>177800</xdr:rowOff>
    </xdr:from>
    <xdr:to>
      <xdr:col>9</xdr:col>
      <xdr:colOff>18036</xdr:colOff>
      <xdr:row>10</xdr:row>
      <xdr:rowOff>495299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11696700" y="5829300"/>
          <a:ext cx="61902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14</xdr:row>
      <xdr:rowOff>177800</xdr:rowOff>
    </xdr:from>
    <xdr:to>
      <xdr:col>9</xdr:col>
      <xdr:colOff>5336</xdr:colOff>
      <xdr:row>14</xdr:row>
      <xdr:rowOff>495299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DF856FB-50F4-1C46-BFBC-82F68EF73E57}"/>
            </a:ext>
          </a:extLst>
        </xdr:cNvPr>
        <xdr:cNvSpPr txBox="1"/>
      </xdr:nvSpPr>
      <xdr:spPr>
        <a:xfrm>
          <a:off x="11684000" y="8369300"/>
          <a:ext cx="61902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9563F42-6C25-3049-AB8D-9CEF0C36CA05}"/>
            </a:ext>
          </a:extLst>
        </xdr:cNvPr>
        <xdr:cNvSpPr txBox="1"/>
      </xdr:nvSpPr>
      <xdr:spPr>
        <a:xfrm>
          <a:off x="11684000" y="7086600"/>
          <a:ext cx="62020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1282700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58800" y="455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2</xdr:col>
      <xdr:colOff>1270000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46100" y="58293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1282700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58800" y="708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1282700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558800" y="83693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2</xdr:col>
      <xdr:colOff>1270000</xdr:colOff>
      <xdr:row>16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D96BA6-5CDF-4542-8E7D-F915FA3DEEF1}"/>
            </a:ext>
          </a:extLst>
        </xdr:cNvPr>
        <xdr:cNvSpPr txBox="1"/>
      </xdr:nvSpPr>
      <xdr:spPr>
        <a:xfrm>
          <a:off x="546100" y="96774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333EAFF-76CC-FA40-B127-0F3DC81C7787}"/>
            </a:ext>
          </a:extLst>
        </xdr:cNvPr>
        <xdr:cNvSpPr txBox="1"/>
      </xdr:nvSpPr>
      <xdr:spPr>
        <a:xfrm>
          <a:off x="1803400" y="96774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6</xdr:row>
      <xdr:rowOff>177800</xdr:rowOff>
    </xdr:from>
    <xdr:to>
      <xdr:col>6</xdr:col>
      <xdr:colOff>1219200</xdr:colOff>
      <xdr:row>6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D18B1F-D8C4-CA43-ACEB-C268092F5CD0}"/>
            </a:ext>
          </a:extLst>
        </xdr:cNvPr>
        <xdr:cNvSpPr txBox="1"/>
      </xdr:nvSpPr>
      <xdr:spPr>
        <a:xfrm>
          <a:off x="6718300" y="328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6</xdr:row>
      <xdr:rowOff>177800</xdr:rowOff>
    </xdr:from>
    <xdr:to>
      <xdr:col>4</xdr:col>
      <xdr:colOff>1219200</xdr:colOff>
      <xdr:row>6</xdr:row>
      <xdr:rowOff>495300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D02743-726E-C84F-BF7A-287B847B7F74}"/>
            </a:ext>
          </a:extLst>
        </xdr:cNvPr>
        <xdr:cNvSpPr txBox="1"/>
      </xdr:nvSpPr>
      <xdr:spPr>
        <a:xfrm>
          <a:off x="1816100" y="32893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165100</xdr:rowOff>
    </xdr:from>
    <xdr:to>
      <xdr:col>2</xdr:col>
      <xdr:colOff>1270000</xdr:colOff>
      <xdr:row>6</xdr:row>
      <xdr:rowOff>482599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546100" y="32766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25400</xdr:colOff>
      <xdr:row>1</xdr:row>
      <xdr:rowOff>723900</xdr:rowOff>
    </xdr:from>
    <xdr:to>
      <xdr:col>8</xdr:col>
      <xdr:colOff>2171700</xdr:colOff>
      <xdr:row>3</xdr:row>
      <xdr:rowOff>541770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FCE8BD5-273D-5344-9189-7FF18D86D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7800" y="914400"/>
          <a:ext cx="2146300" cy="10243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1257300</xdr:colOff>
      <xdr:row>6</xdr:row>
      <xdr:rowOff>203200</xdr:rowOff>
    </xdr:from>
    <xdr:to>
      <xdr:col>9</xdr:col>
      <xdr:colOff>0</xdr:colOff>
      <xdr:row>6</xdr:row>
      <xdr:rowOff>527603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D45A1FD-9A61-BB44-B45D-087E8F803B1E}"/>
            </a:ext>
          </a:extLst>
        </xdr:cNvPr>
        <xdr:cNvSpPr txBox="1"/>
      </xdr:nvSpPr>
      <xdr:spPr>
        <a:xfrm>
          <a:off x="11696700" y="3314700"/>
          <a:ext cx="61722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1257300</xdr:colOff>
      <xdr:row>10</xdr:row>
      <xdr:rowOff>177801</xdr:rowOff>
    </xdr:from>
    <xdr:to>
      <xdr:col>6</xdr:col>
      <xdr:colOff>1231900</xdr:colOff>
      <xdr:row>10</xdr:row>
      <xdr:rowOff>482601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6743700" y="5829301"/>
          <a:ext cx="4927600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14</xdr:row>
      <xdr:rowOff>165100</xdr:rowOff>
    </xdr:from>
    <xdr:to>
      <xdr:col>6</xdr:col>
      <xdr:colOff>1270000</xdr:colOff>
      <xdr:row>14</xdr:row>
      <xdr:rowOff>489503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6731000" y="8356600"/>
          <a:ext cx="49784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1295400</xdr:colOff>
      <xdr:row>12</xdr:row>
      <xdr:rowOff>165101</xdr:rowOff>
    </xdr:from>
    <xdr:to>
      <xdr:col>4</xdr:col>
      <xdr:colOff>1231900</xdr:colOff>
      <xdr:row>12</xdr:row>
      <xdr:rowOff>469901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1828800" y="7086601"/>
          <a:ext cx="4889500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6</xdr:row>
      <xdr:rowOff>203200</xdr:rowOff>
    </xdr:from>
    <xdr:to>
      <xdr:col>6</xdr:col>
      <xdr:colOff>1257300</xdr:colOff>
      <xdr:row>6</xdr:row>
      <xdr:rowOff>520699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6680200" y="3314700"/>
          <a:ext cx="5016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10</xdr:row>
      <xdr:rowOff>177800</xdr:rowOff>
    </xdr:from>
    <xdr:to>
      <xdr:col>9</xdr:col>
      <xdr:colOff>17118</xdr:colOff>
      <xdr:row>10</xdr:row>
      <xdr:rowOff>482600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EE95098-EADD-A042-B524-BFA5C01FA510}"/>
            </a:ext>
          </a:extLst>
        </xdr:cNvPr>
        <xdr:cNvSpPr txBox="1"/>
      </xdr:nvSpPr>
      <xdr:spPr>
        <a:xfrm>
          <a:off x="11671300" y="5829300"/>
          <a:ext cx="6214718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8</xdr:row>
      <xdr:rowOff>203200</xdr:rowOff>
    </xdr:from>
    <xdr:to>
      <xdr:col>6</xdr:col>
      <xdr:colOff>1257300</xdr:colOff>
      <xdr:row>8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6718300" y="45847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177800</xdr:rowOff>
    </xdr:from>
    <xdr:to>
      <xdr:col>4</xdr:col>
      <xdr:colOff>1257300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1816100" y="5829300"/>
          <a:ext cx="492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12</xdr:row>
      <xdr:rowOff>165100</xdr:rowOff>
    </xdr:from>
    <xdr:to>
      <xdr:col>6</xdr:col>
      <xdr:colOff>1219200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6731000" y="7086600"/>
          <a:ext cx="492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14</xdr:row>
      <xdr:rowOff>177800</xdr:rowOff>
    </xdr:from>
    <xdr:to>
      <xdr:col>4</xdr:col>
      <xdr:colOff>1244600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1790700" y="836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1257300</xdr:colOff>
      <xdr:row>8</xdr:row>
      <xdr:rowOff>203200</xdr:rowOff>
    </xdr:from>
    <xdr:to>
      <xdr:col>8</xdr:col>
      <xdr:colOff>2475395</xdr:colOff>
      <xdr:row>8</xdr:row>
      <xdr:rowOff>520700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318D49-D3ED-6644-B712-8EC842594989}"/>
            </a:ext>
          </a:extLst>
        </xdr:cNvPr>
        <xdr:cNvSpPr txBox="1"/>
      </xdr:nvSpPr>
      <xdr:spPr>
        <a:xfrm>
          <a:off x="11696700" y="4584700"/>
          <a:ext cx="6171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1219200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C575B22-A106-5F4D-9968-3567833C952E}"/>
            </a:ext>
          </a:extLst>
        </xdr:cNvPr>
        <xdr:cNvSpPr txBox="1"/>
      </xdr:nvSpPr>
      <xdr:spPr>
        <a:xfrm>
          <a:off x="11658600" y="7086600"/>
          <a:ext cx="62091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203200</xdr:rowOff>
    </xdr:from>
    <xdr:to>
      <xdr:col>2</xdr:col>
      <xdr:colOff>1282700</xdr:colOff>
      <xdr:row>8</xdr:row>
      <xdr:rowOff>520699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4B5C89-ECD4-5343-9627-9AF3F9A729AB}"/>
            </a:ext>
          </a:extLst>
        </xdr:cNvPr>
        <xdr:cNvSpPr txBox="1"/>
      </xdr:nvSpPr>
      <xdr:spPr>
        <a:xfrm>
          <a:off x="558800" y="45847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1295400</xdr:colOff>
      <xdr:row>8</xdr:row>
      <xdr:rowOff>203200</xdr:rowOff>
    </xdr:from>
    <xdr:to>
      <xdr:col>4</xdr:col>
      <xdr:colOff>1231900</xdr:colOff>
      <xdr:row>8</xdr:row>
      <xdr:rowOff>520699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E6A7F-BC33-B24E-8191-36DF27547D5D}"/>
            </a:ext>
          </a:extLst>
        </xdr:cNvPr>
        <xdr:cNvSpPr txBox="1"/>
      </xdr:nvSpPr>
      <xdr:spPr>
        <a:xfrm>
          <a:off x="1828800" y="4584700"/>
          <a:ext cx="488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2</xdr:col>
      <xdr:colOff>1270000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6100" y="582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2</xdr:col>
      <xdr:colOff>1282700</xdr:colOff>
      <xdr:row>12</xdr:row>
      <xdr:rowOff>469899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3B06F-77DE-5D44-A6D4-28849B28EC09}"/>
            </a:ext>
          </a:extLst>
        </xdr:cNvPr>
        <xdr:cNvSpPr txBox="1"/>
      </xdr:nvSpPr>
      <xdr:spPr>
        <a:xfrm>
          <a:off x="558800" y="70739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190500</xdr:rowOff>
    </xdr:from>
    <xdr:to>
      <xdr:col>2</xdr:col>
      <xdr:colOff>1257300</xdr:colOff>
      <xdr:row>14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D3802-A3CB-C248-8EAB-8781C9FF3230}"/>
            </a:ext>
          </a:extLst>
        </xdr:cNvPr>
        <xdr:cNvSpPr txBox="1"/>
      </xdr:nvSpPr>
      <xdr:spPr>
        <a:xfrm>
          <a:off x="533400" y="8382000"/>
          <a:ext cx="1257300" cy="2920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50800</xdr:colOff>
      <xdr:row>1</xdr:row>
      <xdr:rowOff>736600</xdr:rowOff>
    </xdr:from>
    <xdr:to>
      <xdr:col>8</xdr:col>
      <xdr:colOff>2197100</xdr:colOff>
      <xdr:row>3</xdr:row>
      <xdr:rowOff>554470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2F4CDBE-46C3-ED4B-9012-40740E931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43200" y="927100"/>
          <a:ext cx="2146300" cy="10243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1193800</xdr:colOff>
      <xdr:row>6</xdr:row>
      <xdr:rowOff>177800</xdr:rowOff>
    </xdr:from>
    <xdr:to>
      <xdr:col>9</xdr:col>
      <xdr:colOff>13805</xdr:colOff>
      <xdr:row>6</xdr:row>
      <xdr:rowOff>495300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80CF3AA-0DD7-E14A-8EF4-68CF9DF02642}"/>
            </a:ext>
          </a:extLst>
        </xdr:cNvPr>
        <xdr:cNvSpPr txBox="1"/>
      </xdr:nvSpPr>
      <xdr:spPr>
        <a:xfrm>
          <a:off x="11633200" y="3289300"/>
          <a:ext cx="62495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1193800</xdr:colOff>
      <xdr:row>10</xdr:row>
      <xdr:rowOff>177800</xdr:rowOff>
    </xdr:from>
    <xdr:to>
      <xdr:col>9</xdr:col>
      <xdr:colOff>26505</xdr:colOff>
      <xdr:row>10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8B4BBC5-BBC3-4B4C-B581-B49153CEA1B7}"/>
            </a:ext>
          </a:extLst>
        </xdr:cNvPr>
        <xdr:cNvSpPr txBox="1"/>
      </xdr:nvSpPr>
      <xdr:spPr>
        <a:xfrm>
          <a:off x="11633200" y="5829300"/>
          <a:ext cx="62622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14</xdr:row>
      <xdr:rowOff>177800</xdr:rowOff>
    </xdr:from>
    <xdr:to>
      <xdr:col>9</xdr:col>
      <xdr:colOff>13805</xdr:colOff>
      <xdr:row>14</xdr:row>
      <xdr:rowOff>495300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5CD6A6-DE21-504E-8851-806F0A97C355}"/>
            </a:ext>
          </a:extLst>
        </xdr:cNvPr>
        <xdr:cNvSpPr txBox="1"/>
      </xdr:nvSpPr>
      <xdr:spPr>
        <a:xfrm>
          <a:off x="11671300" y="8369300"/>
          <a:ext cx="62114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1181100</xdr:colOff>
      <xdr:row>8</xdr:row>
      <xdr:rowOff>190500</xdr:rowOff>
    </xdr:from>
    <xdr:to>
      <xdr:col>9</xdr:col>
      <xdr:colOff>11595</xdr:colOff>
      <xdr:row>8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11620500" y="4572000"/>
          <a:ext cx="62599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1257300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7E9441-677D-924E-9F1E-388D17F1122D}"/>
            </a:ext>
          </a:extLst>
        </xdr:cNvPr>
        <xdr:cNvSpPr txBox="1"/>
      </xdr:nvSpPr>
      <xdr:spPr>
        <a:xfrm>
          <a:off x="11696700" y="7086600"/>
          <a:ext cx="6171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8</xdr:row>
      <xdr:rowOff>190501</xdr:rowOff>
    </xdr:from>
    <xdr:to>
      <xdr:col>4</xdr:col>
      <xdr:colOff>1206500</xdr:colOff>
      <xdr:row>8</xdr:row>
      <xdr:rowOff>508001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1739900" y="4572001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12</xdr:row>
      <xdr:rowOff>165100</xdr:rowOff>
    </xdr:from>
    <xdr:to>
      <xdr:col>4</xdr:col>
      <xdr:colOff>1219200</xdr:colOff>
      <xdr:row>12</xdr:row>
      <xdr:rowOff>489503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1739900" y="7086600"/>
          <a:ext cx="49657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10</xdr:row>
      <xdr:rowOff>177800</xdr:rowOff>
    </xdr:from>
    <xdr:to>
      <xdr:col>6</xdr:col>
      <xdr:colOff>1181100</xdr:colOff>
      <xdr:row>10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6705600" y="5829300"/>
          <a:ext cx="49149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14</xdr:row>
      <xdr:rowOff>177800</xdr:rowOff>
    </xdr:from>
    <xdr:to>
      <xdr:col>6</xdr:col>
      <xdr:colOff>1231900</xdr:colOff>
      <xdr:row>14</xdr:row>
      <xdr:rowOff>502203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6705600" y="8369300"/>
          <a:ext cx="49657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8</xdr:row>
      <xdr:rowOff>190500</xdr:rowOff>
    </xdr:from>
    <xdr:to>
      <xdr:col>6</xdr:col>
      <xdr:colOff>1181100</xdr:colOff>
      <xdr:row>8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6705600" y="45720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177800</xdr:rowOff>
    </xdr:from>
    <xdr:to>
      <xdr:col>4</xdr:col>
      <xdr:colOff>1219200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1752600" y="582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12</xdr:row>
      <xdr:rowOff>165100</xdr:rowOff>
    </xdr:from>
    <xdr:to>
      <xdr:col>6</xdr:col>
      <xdr:colOff>1257300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6718300" y="70866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14</xdr:row>
      <xdr:rowOff>177800</xdr:rowOff>
    </xdr:from>
    <xdr:to>
      <xdr:col>4</xdr:col>
      <xdr:colOff>1219200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1752600" y="836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2</xdr:col>
      <xdr:colOff>1206500</xdr:colOff>
      <xdr:row>8</xdr:row>
      <xdr:rowOff>507999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14D82-D9BE-454E-9137-AE65FFACC3C7}"/>
            </a:ext>
          </a:extLst>
        </xdr:cNvPr>
        <xdr:cNvSpPr txBox="1"/>
      </xdr:nvSpPr>
      <xdr:spPr>
        <a:xfrm>
          <a:off x="558800" y="4572000"/>
          <a:ext cx="118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1206500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58800" y="58293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1206500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7EB9C2-ACE5-364A-8AB0-42E02D3E0DD4}"/>
            </a:ext>
          </a:extLst>
        </xdr:cNvPr>
        <xdr:cNvSpPr txBox="1"/>
      </xdr:nvSpPr>
      <xdr:spPr>
        <a:xfrm>
          <a:off x="558800" y="7086600"/>
          <a:ext cx="118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1206500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58800" y="83693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165100</xdr:rowOff>
    </xdr:from>
    <xdr:to>
      <xdr:col>2</xdr:col>
      <xdr:colOff>1193800</xdr:colOff>
      <xdr:row>16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486044-D551-544B-8624-9DE055961795}"/>
            </a:ext>
          </a:extLst>
        </xdr:cNvPr>
        <xdr:cNvSpPr txBox="1"/>
      </xdr:nvSpPr>
      <xdr:spPr>
        <a:xfrm>
          <a:off x="546100" y="9626600"/>
          <a:ext cx="118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25400</xdr:colOff>
      <xdr:row>1</xdr:row>
      <xdr:rowOff>673100</xdr:rowOff>
    </xdr:from>
    <xdr:to>
      <xdr:col>8</xdr:col>
      <xdr:colOff>2171700</xdr:colOff>
      <xdr:row>3</xdr:row>
      <xdr:rowOff>490970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84465EE-0FB5-7D45-8E94-F3D2CB5C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7800" y="863600"/>
          <a:ext cx="2146300" cy="1024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zoomScale="69" zoomScaleNormal="69" workbookViewId="0">
      <pane ySplit="5" topLeftCell="A6" activePane="bottomLeft" state="frozen"/>
      <selection pane="bottomLeft" activeCell="L7" sqref="L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66" t="s">
        <v>0</v>
      </c>
      <c r="D2" s="167"/>
      <c r="E2" s="167"/>
      <c r="F2" s="167"/>
      <c r="G2" s="167"/>
      <c r="H2" s="167"/>
      <c r="I2" s="168"/>
    </row>
    <row r="3" spans="2:9" s="17" customFormat="1" ht="20" customHeight="1" x14ac:dyDescent="0.15">
      <c r="C3" s="18" t="s">
        <v>1</v>
      </c>
      <c r="D3" s="159">
        <v>2025</v>
      </c>
      <c r="E3" s="20" t="s">
        <v>2</v>
      </c>
      <c r="F3" s="19" t="s">
        <v>3</v>
      </c>
      <c r="G3" s="21" t="s">
        <v>4</v>
      </c>
      <c r="H3" s="22"/>
      <c r="I3" s="23"/>
    </row>
    <row r="4" spans="2:9" ht="75" customHeight="1" x14ac:dyDescent="0.65">
      <c r="C4" s="161">
        <f>CalendarYear</f>
        <v>2025</v>
      </c>
      <c r="D4" s="172" t="s">
        <v>5</v>
      </c>
      <c r="E4" s="172"/>
      <c r="F4" s="172"/>
      <c r="G4" s="172"/>
      <c r="H4" s="172"/>
      <c r="I4" s="160"/>
    </row>
    <row r="5" spans="2:9" s="2" customFormat="1" ht="35" customHeight="1" x14ac:dyDescent="0.15">
      <c r="B5" s="89"/>
      <c r="C5" s="14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4"/>
      <c r="C6" s="140">
        <f t="array" ref="C6:I6">DaysAndWeeks+DATE(CalendarYear,1,1)-WEEKDAY(DATE(CalendarYear,1,1),(WeekStart="M")+1)+1</f>
        <v>45655</v>
      </c>
      <c r="D6" s="26">
        <v>45656</v>
      </c>
      <c r="E6" s="26">
        <v>45657</v>
      </c>
      <c r="F6" s="26">
        <v>45658</v>
      </c>
      <c r="G6" s="164">
        <v>45659</v>
      </c>
      <c r="H6" s="26">
        <v>45660</v>
      </c>
      <c r="I6" s="27">
        <v>45661</v>
      </c>
    </row>
    <row r="7" spans="2:9" s="6" customFormat="1" ht="75" customHeight="1" x14ac:dyDescent="0.15">
      <c r="B7" s="82"/>
      <c r="C7" s="135">
        <v>0.625</v>
      </c>
      <c r="D7" s="9"/>
      <c r="E7" s="57"/>
      <c r="F7" s="9"/>
      <c r="G7" s="165">
        <v>0.625</v>
      </c>
      <c r="H7" s="7"/>
      <c r="I7" s="8"/>
    </row>
    <row r="8" spans="2:9" s="36" customFormat="1" ht="25" customHeight="1" x14ac:dyDescent="0.2">
      <c r="B8" s="84"/>
      <c r="C8" s="24">
        <f t="array" ref="C8:I8">DaysAndWeeks+DATE(CalendarYear,1,1)-WEEKDAY(DATE(CalendarYear,1,1),(WeekStart="M")+1)+8</f>
        <v>45662</v>
      </c>
      <c r="D8" s="163">
        <v>45663</v>
      </c>
      <c r="E8" s="163">
        <v>45664</v>
      </c>
      <c r="F8" s="163">
        <v>45665</v>
      </c>
      <c r="G8" s="163">
        <v>45666</v>
      </c>
      <c r="H8" s="123">
        <v>45667</v>
      </c>
      <c r="I8" s="27">
        <v>45668</v>
      </c>
    </row>
    <row r="9" spans="2:9" s="6" customFormat="1" ht="75" customHeight="1" x14ac:dyDescent="0.15">
      <c r="B9" s="82"/>
      <c r="C9" s="135">
        <v>0.625</v>
      </c>
      <c r="D9" s="12"/>
      <c r="E9" s="136">
        <v>0.625</v>
      </c>
      <c r="F9" s="12"/>
      <c r="G9" s="138">
        <v>0.625</v>
      </c>
      <c r="H9" s="9"/>
      <c r="I9" s="10"/>
    </row>
    <row r="10" spans="2:9" s="36" customFormat="1" ht="25" customHeight="1" x14ac:dyDescent="0.2">
      <c r="B10" s="84"/>
      <c r="C10" s="24">
        <f t="array" ref="C10:I10">DaysAndWeeks+DATE(CalendarYear,1,1)-WEEKDAY(DATE(CalendarYear,1,1),(WeekStart="M")+1)+15</f>
        <v>45669</v>
      </c>
      <c r="D10" s="25">
        <v>45670</v>
      </c>
      <c r="E10" s="25">
        <v>45671</v>
      </c>
      <c r="F10" s="25">
        <v>45672</v>
      </c>
      <c r="G10" s="28">
        <v>45673</v>
      </c>
      <c r="H10" s="29">
        <v>45674</v>
      </c>
      <c r="I10" s="27">
        <v>45675</v>
      </c>
    </row>
    <row r="11" spans="2:9" s="6" customFormat="1" ht="75" customHeight="1" x14ac:dyDescent="0.15">
      <c r="B11" s="82"/>
      <c r="C11" s="135">
        <v>0.625</v>
      </c>
      <c r="D11" s="12"/>
      <c r="E11" s="136">
        <v>0.625</v>
      </c>
      <c r="F11" s="12"/>
      <c r="G11" s="137">
        <v>0.625</v>
      </c>
      <c r="H11" s="11"/>
      <c r="I11" s="8"/>
    </row>
    <row r="12" spans="2:9" s="36" customFormat="1" ht="25" customHeight="1" x14ac:dyDescent="0.2">
      <c r="B12" s="84"/>
      <c r="C12" s="24">
        <f t="array" ref="C12:I12">DaysAndWeeks+DATE(CalendarYear,1,1)-WEEKDAY(DATE(CalendarYear,1,1),(WeekStart="M")+1)+22</f>
        <v>45676</v>
      </c>
      <c r="D12" s="25">
        <v>45677</v>
      </c>
      <c r="E12" s="25">
        <v>45678</v>
      </c>
      <c r="F12" s="25">
        <v>45679</v>
      </c>
      <c r="G12" s="25">
        <v>45680</v>
      </c>
      <c r="H12" s="26">
        <v>45681</v>
      </c>
      <c r="I12" s="27">
        <v>45682</v>
      </c>
    </row>
    <row r="13" spans="2:9" s="6" customFormat="1" ht="75" customHeight="1" x14ac:dyDescent="0.15">
      <c r="B13" s="82"/>
      <c r="C13" s="135">
        <v>0.625</v>
      </c>
      <c r="D13" s="12"/>
      <c r="E13" s="136">
        <v>0.625</v>
      </c>
      <c r="F13" s="12"/>
      <c r="G13" s="138">
        <v>0.625</v>
      </c>
      <c r="H13" s="9"/>
      <c r="I13" s="10"/>
    </row>
    <row r="14" spans="2:9" s="36" customFormat="1" ht="25" customHeight="1" x14ac:dyDescent="0.2">
      <c r="B14" s="84"/>
      <c r="C14" s="24">
        <f t="array" ref="C14:I14">DaysAndWeeks+DATE(CalendarYear,1,1)-WEEKDAY(DATE(CalendarYear,1,1),(WeekStart="M")+1)+29</f>
        <v>45683</v>
      </c>
      <c r="D14" s="25">
        <v>45684</v>
      </c>
      <c r="E14" s="25">
        <v>45685</v>
      </c>
      <c r="F14" s="25">
        <v>45686</v>
      </c>
      <c r="G14" s="25">
        <v>45687</v>
      </c>
      <c r="H14" s="26">
        <v>45688</v>
      </c>
      <c r="I14" s="27">
        <v>45689</v>
      </c>
    </row>
    <row r="15" spans="2:9" s="6" customFormat="1" ht="75" customHeight="1" x14ac:dyDescent="0.15">
      <c r="B15" s="82"/>
      <c r="C15" s="135">
        <v>0.625</v>
      </c>
      <c r="D15" s="12"/>
      <c r="E15" s="136">
        <v>0.625</v>
      </c>
      <c r="F15" s="12"/>
      <c r="G15" s="139">
        <v>0.625</v>
      </c>
      <c r="H15" s="7"/>
      <c r="I15" s="8"/>
    </row>
    <row r="16" spans="2:9" s="36" customFormat="1" ht="25" customHeight="1" x14ac:dyDescent="0.2">
      <c r="B16" s="84"/>
      <c r="C16" s="140">
        <f t="array" ref="C16:I16">DaysAndWeeks+DATE(CalendarYear,1,1)-WEEKDAY(DATE(CalendarYear,1,1),(WeekStart="M")+1)+36</f>
        <v>45690</v>
      </c>
      <c r="D16" s="26">
        <v>45691</v>
      </c>
      <c r="E16" s="30">
        <v>45692</v>
      </c>
      <c r="F16" s="30">
        <v>45693</v>
      </c>
      <c r="G16" s="30">
        <v>45694</v>
      </c>
      <c r="H16" s="30">
        <v>45695</v>
      </c>
      <c r="I16" s="31">
        <v>45696</v>
      </c>
    </row>
    <row r="17" spans="2:9" s="6" customFormat="1" ht="75" customHeight="1" x14ac:dyDescent="0.2">
      <c r="B17" s="82"/>
      <c r="C17" s="141">
        <v>0.625</v>
      </c>
      <c r="D17" s="134"/>
      <c r="E17" s="4"/>
      <c r="F17" s="4"/>
      <c r="G17" s="4"/>
      <c r="H17" s="4"/>
      <c r="I17" s="5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:I17 C18">
    <cfRule type="expression" dxfId="37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7" activePane="bottomLeft" state="frozen"/>
      <selection pane="bottomLeft" activeCell="L11" sqref="L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6" t="s">
        <v>0</v>
      </c>
      <c r="D2" s="167"/>
      <c r="E2" s="167"/>
      <c r="F2" s="167"/>
      <c r="G2" s="167"/>
      <c r="H2" s="167"/>
      <c r="I2" s="168"/>
    </row>
    <row r="3" spans="2:9" ht="20" customHeight="1" x14ac:dyDescent="0.15">
      <c r="B3" s="83"/>
      <c r="C3" s="52"/>
      <c r="D3" s="33"/>
      <c r="E3" s="33"/>
      <c r="F3" s="33"/>
      <c r="G3" s="52" t="s">
        <v>7</v>
      </c>
      <c r="H3" s="52" t="s">
        <v>8</v>
      </c>
      <c r="I3" s="96"/>
    </row>
    <row r="4" spans="2:9" ht="75" customHeight="1" x14ac:dyDescent="0.65">
      <c r="B4" s="83"/>
      <c r="C4" s="161">
        <f>CalendarYear</f>
        <v>2025</v>
      </c>
      <c r="D4" s="173" t="s">
        <v>9</v>
      </c>
      <c r="E4" s="173"/>
      <c r="F4" s="173"/>
      <c r="G4" s="173"/>
      <c r="H4" s="173"/>
      <c r="I4" s="162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6"/>
      <c r="C6" s="54">
        <f t="array" ref="C6:I6">DaysAndWeeks+DATE(CalendarYear,2,1)-WEEKDAY(DATE(CalendarYear,2,1),(WeekStart="M")+1)+1</f>
        <v>45683</v>
      </c>
      <c r="D6" s="44">
        <v>45684</v>
      </c>
      <c r="E6" s="123">
        <v>45685</v>
      </c>
      <c r="F6" s="123">
        <v>45686</v>
      </c>
      <c r="G6" s="123">
        <v>45687</v>
      </c>
      <c r="H6" s="123">
        <v>45688</v>
      </c>
      <c r="I6" s="124">
        <v>45689</v>
      </c>
    </row>
    <row r="7" spans="2:9" s="6" customFormat="1" ht="75" customHeight="1" x14ac:dyDescent="0.15">
      <c r="B7" s="82"/>
      <c r="C7" s="53"/>
      <c r="D7" s="35"/>
      <c r="E7" s="142">
        <v>0.625</v>
      </c>
      <c r="F7" s="125"/>
      <c r="G7" s="143">
        <v>0.625</v>
      </c>
      <c r="H7" s="125"/>
      <c r="I7" s="126"/>
    </row>
    <row r="8" spans="2:9" s="38" customFormat="1" ht="25" customHeight="1" x14ac:dyDescent="0.2">
      <c r="B8" s="86"/>
      <c r="C8" s="129">
        <f t="array" ref="C8:I8">DaysAndWeeks+DATE(CalendarYear,2,1)-WEEKDAY(DATE(CalendarYear,2,1),(WeekStart="M")+1)+8</f>
        <v>45690</v>
      </c>
      <c r="D8" s="123">
        <v>45691</v>
      </c>
      <c r="E8" s="127">
        <v>45692</v>
      </c>
      <c r="F8" s="127">
        <v>45693</v>
      </c>
      <c r="G8" s="127">
        <v>45694</v>
      </c>
      <c r="H8" s="127">
        <v>45695</v>
      </c>
      <c r="I8" s="124">
        <v>45696</v>
      </c>
    </row>
    <row r="9" spans="2:9" s="59" customFormat="1" ht="75" customHeight="1" x14ac:dyDescent="0.15">
      <c r="B9" s="91"/>
      <c r="C9" s="144">
        <v>0.625</v>
      </c>
      <c r="D9" s="58"/>
      <c r="E9" s="145">
        <v>0.625</v>
      </c>
      <c r="F9" s="128"/>
      <c r="G9" s="145">
        <v>0.625</v>
      </c>
      <c r="H9" s="128"/>
      <c r="I9" s="92"/>
    </row>
    <row r="10" spans="2:9" s="38" customFormat="1" ht="25" customHeight="1" x14ac:dyDescent="0.2">
      <c r="B10" s="86"/>
      <c r="C10" s="129">
        <f t="array" ref="C10:I10">DaysAndWeeks+DATE(CalendarYear,2,1)-WEEKDAY(DATE(CalendarYear,2,1),(WeekStart="M")+1)+15</f>
        <v>45697</v>
      </c>
      <c r="D10" s="123">
        <v>45698</v>
      </c>
      <c r="E10" s="123">
        <v>45699</v>
      </c>
      <c r="F10" s="123">
        <v>45700</v>
      </c>
      <c r="G10" s="123">
        <v>45701</v>
      </c>
      <c r="H10" s="123">
        <v>45702</v>
      </c>
      <c r="I10" s="124">
        <v>45703</v>
      </c>
    </row>
    <row r="11" spans="2:9" s="59" customFormat="1" ht="75" customHeight="1" x14ac:dyDescent="0.15">
      <c r="B11" s="91"/>
      <c r="C11" s="144">
        <v>0.625</v>
      </c>
      <c r="D11" s="154"/>
      <c r="E11" s="146">
        <v>0.625</v>
      </c>
      <c r="F11" s="154"/>
      <c r="G11" s="146">
        <v>0.625</v>
      </c>
      <c r="H11" s="58"/>
      <c r="I11" s="92"/>
    </row>
    <row r="12" spans="2:9" s="36" customFormat="1" ht="25" customHeight="1" x14ac:dyDescent="0.2">
      <c r="B12" s="84"/>
      <c r="C12" s="129">
        <f t="array" ref="C12:I12">DaysAndWeeks+DATE(CalendarYear,2,1)-WEEKDAY(DATE(CalendarYear,2,1),(WeekStart="M")+1)+22</f>
        <v>45704</v>
      </c>
      <c r="D12" s="123">
        <v>45705</v>
      </c>
      <c r="E12" s="123">
        <v>45706</v>
      </c>
      <c r="F12" s="123">
        <v>45707</v>
      </c>
      <c r="G12" s="123">
        <v>45708</v>
      </c>
      <c r="H12" s="123">
        <v>45709</v>
      </c>
      <c r="I12" s="124">
        <v>45710</v>
      </c>
    </row>
    <row r="13" spans="2:9" s="59" customFormat="1" ht="75" customHeight="1" x14ac:dyDescent="0.15">
      <c r="B13" s="91"/>
      <c r="C13" s="144">
        <v>0.625</v>
      </c>
      <c r="D13" s="58"/>
      <c r="E13" s="146">
        <v>0.625</v>
      </c>
      <c r="F13" s="58"/>
      <c r="G13" s="146">
        <v>0.625</v>
      </c>
      <c r="H13" s="58"/>
      <c r="I13" s="92"/>
    </row>
    <row r="14" spans="2:9" s="36" customFormat="1" ht="25" customHeight="1" x14ac:dyDescent="0.2">
      <c r="B14" s="84"/>
      <c r="C14" s="129">
        <f t="array" ref="C14:I14">DaysAndWeeks+DATE(CalendarYear,2,1)-WEEKDAY(DATE(CalendarYear,2,1),(WeekStart="M")+1)+29</f>
        <v>45711</v>
      </c>
      <c r="D14" s="123">
        <v>45712</v>
      </c>
      <c r="E14" s="43">
        <v>45713</v>
      </c>
      <c r="F14" s="43">
        <v>45714</v>
      </c>
      <c r="G14" s="43">
        <v>45715</v>
      </c>
      <c r="H14" s="43">
        <v>45716</v>
      </c>
      <c r="I14" s="93">
        <v>45717</v>
      </c>
    </row>
    <row r="15" spans="2:9" s="59" customFormat="1" ht="75" customHeight="1" x14ac:dyDescent="0.15">
      <c r="B15" s="91"/>
      <c r="C15" s="144">
        <v>0.625</v>
      </c>
      <c r="D15" s="58"/>
      <c r="E15" s="108"/>
      <c r="F15" s="62"/>
      <c r="G15" s="62"/>
      <c r="H15" s="62"/>
      <c r="I15" s="94"/>
    </row>
    <row r="16" spans="2:9" s="36" customFormat="1" ht="25" customHeight="1" x14ac:dyDescent="0.2">
      <c r="B16" s="84"/>
      <c r="C16" s="90">
        <f t="array" ref="C16:I16">DaysAndWeeks+DATE(CalendarYear,2,1)-WEEKDAY(DATE(CalendarYear,2,1),(WeekStart="M")+1)+36</f>
        <v>45718</v>
      </c>
      <c r="D16" s="42">
        <v>45719</v>
      </c>
      <c r="E16" s="42">
        <v>45720</v>
      </c>
      <c r="F16" s="42">
        <v>45721</v>
      </c>
      <c r="G16" s="42">
        <v>45722</v>
      </c>
      <c r="H16" s="42">
        <v>45723</v>
      </c>
      <c r="I16" s="95">
        <v>45724</v>
      </c>
    </row>
    <row r="17" spans="2:9" s="6" customFormat="1" ht="75" customHeight="1" x14ac:dyDescent="0.15">
      <c r="B17" s="82"/>
      <c r="C17" s="53"/>
      <c r="D17" s="3"/>
      <c r="E17" s="3"/>
      <c r="F17" s="3"/>
      <c r="G17" s="3"/>
      <c r="H17" s="3"/>
      <c r="I17" s="103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C15:D15 F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tabSelected="1" zoomScaleNormal="100" workbookViewId="0">
      <pane ySplit="5" topLeftCell="A10" activePane="bottomLeft" state="frozen"/>
      <selection pane="bottomLeft" activeCell="C4" sqref="C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15">
      <c r="B3" s="83"/>
      <c r="C3" s="34"/>
      <c r="D3" s="32"/>
      <c r="E3" s="32"/>
      <c r="F3" s="33"/>
      <c r="G3" s="52" t="s">
        <v>10</v>
      </c>
      <c r="H3" s="52" t="s">
        <v>11</v>
      </c>
      <c r="I3" s="101"/>
    </row>
    <row r="4" spans="2:9" ht="75" customHeight="1" x14ac:dyDescent="0.65">
      <c r="B4" s="83"/>
      <c r="C4" s="161">
        <f>CalendarYear</f>
        <v>2025</v>
      </c>
      <c r="D4" s="173" t="s">
        <v>12</v>
      </c>
      <c r="E4" s="173"/>
      <c r="F4" s="173"/>
      <c r="G4" s="173"/>
      <c r="H4" s="173"/>
      <c r="I4" s="162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4"/>
      <c r="C6" s="71">
        <f t="array" ref="C6:I6">DaysAndWeeks+DATE(CalendarYear,3,1)-WEEKDAY(DATE(CalendarYear,3,1),(WeekStart="M")+1)+1</f>
        <v>45711</v>
      </c>
      <c r="D6" s="39">
        <v>45712</v>
      </c>
      <c r="E6" s="37">
        <v>45713</v>
      </c>
      <c r="F6" s="37">
        <v>45714</v>
      </c>
      <c r="G6" s="37">
        <v>45715</v>
      </c>
      <c r="H6" s="37">
        <v>45716</v>
      </c>
      <c r="I6" s="76">
        <v>45717</v>
      </c>
    </row>
    <row r="7" spans="2:9" s="59" customFormat="1" ht="75" customHeight="1" x14ac:dyDescent="0.15">
      <c r="B7" s="91"/>
      <c r="C7" s="102"/>
      <c r="D7" s="61"/>
      <c r="E7" s="146">
        <v>0.625</v>
      </c>
      <c r="F7" s="58"/>
      <c r="G7" s="146">
        <v>0.625</v>
      </c>
      <c r="H7" s="58"/>
      <c r="I7" s="92"/>
    </row>
    <row r="8" spans="2:9" s="36" customFormat="1" ht="25" customHeight="1" x14ac:dyDescent="0.2">
      <c r="B8" s="84"/>
      <c r="C8" s="40">
        <f t="array" ref="C8:I8">DaysAndWeeks+DATE(CalendarYear,3,1)-WEEKDAY(DATE(CalendarYear,3,1),(WeekStart="M")+1)+8</f>
        <v>45718</v>
      </c>
      <c r="D8" s="37">
        <v>45719</v>
      </c>
      <c r="E8" s="37">
        <v>45720</v>
      </c>
      <c r="F8" s="37">
        <v>45721</v>
      </c>
      <c r="G8" s="40">
        <v>45722</v>
      </c>
      <c r="H8" s="37">
        <v>45723</v>
      </c>
      <c r="I8" s="76">
        <v>45724</v>
      </c>
    </row>
    <row r="9" spans="2:9" s="59" customFormat="1" ht="75" customHeight="1" x14ac:dyDescent="0.15">
      <c r="B9" s="91"/>
      <c r="C9" s="144">
        <v>0.625</v>
      </c>
      <c r="D9" s="58"/>
      <c r="E9" s="146">
        <v>0.625</v>
      </c>
      <c r="F9" s="58"/>
      <c r="G9" s="147">
        <v>0.625</v>
      </c>
      <c r="H9" s="58"/>
      <c r="I9" s="92"/>
    </row>
    <row r="10" spans="2:9" s="36" customFormat="1" ht="25" customHeight="1" x14ac:dyDescent="0.2">
      <c r="B10" s="84"/>
      <c r="C10" s="40">
        <f t="array" ref="C10:I10">DaysAndWeeks+DATE(CalendarYear,3,1)-WEEKDAY(DATE(CalendarYear,3,1),(WeekStart="M")+1)+15</f>
        <v>45725</v>
      </c>
      <c r="D10" s="37">
        <v>45726</v>
      </c>
      <c r="E10" s="37">
        <v>45727</v>
      </c>
      <c r="F10" s="37">
        <v>45728</v>
      </c>
      <c r="G10" s="37">
        <v>45729</v>
      </c>
      <c r="H10" s="37">
        <v>45730</v>
      </c>
      <c r="I10" s="76">
        <v>45731</v>
      </c>
    </row>
    <row r="11" spans="2:9" s="59" customFormat="1" ht="75" customHeight="1" x14ac:dyDescent="0.15">
      <c r="B11" s="91"/>
      <c r="C11" s="144">
        <v>0.625</v>
      </c>
      <c r="D11" s="58"/>
      <c r="E11" s="146">
        <v>0.625</v>
      </c>
      <c r="F11" s="58"/>
      <c r="G11" s="60">
        <v>0.625</v>
      </c>
      <c r="H11" s="58"/>
      <c r="I11" s="92"/>
    </row>
    <row r="12" spans="2:9" s="36" customFormat="1" ht="25" customHeight="1" x14ac:dyDescent="0.2">
      <c r="B12" s="84"/>
      <c r="C12" s="40">
        <f t="array" ref="C12:I12">DaysAndWeeks+DATE(CalendarYear,3,1)-WEEKDAY(DATE(CalendarYear,3,1),(WeekStart="M")+1)+22</f>
        <v>45732</v>
      </c>
      <c r="D12" s="37">
        <v>45733</v>
      </c>
      <c r="E12" s="37">
        <v>45734</v>
      </c>
      <c r="F12" s="37">
        <v>45735</v>
      </c>
      <c r="G12" s="37">
        <v>45736</v>
      </c>
      <c r="H12" s="41">
        <v>45737</v>
      </c>
      <c r="I12" s="97">
        <v>45738</v>
      </c>
    </row>
    <row r="13" spans="2:9" s="59" customFormat="1" ht="75" customHeight="1" x14ac:dyDescent="0.15">
      <c r="B13" s="91"/>
      <c r="C13" s="144">
        <v>0.625</v>
      </c>
      <c r="D13" s="58"/>
      <c r="E13" s="146">
        <v>0.625</v>
      </c>
      <c r="F13" s="58"/>
      <c r="G13" s="146">
        <v>0.625</v>
      </c>
      <c r="H13" s="58"/>
      <c r="I13" s="92"/>
    </row>
    <row r="14" spans="2:9" s="36" customFormat="1" ht="25" customHeight="1" x14ac:dyDescent="0.2">
      <c r="B14" s="84"/>
      <c r="C14" s="48">
        <f t="array" ref="C14:I14">DaysAndWeeks+DATE(CalendarYear,3,1)-WEEKDAY(DATE(CalendarYear,3,1),(WeekStart="M")+1)+29</f>
        <v>45739</v>
      </c>
      <c r="D14" s="37">
        <v>45740</v>
      </c>
      <c r="E14" s="37">
        <v>45741</v>
      </c>
      <c r="F14" s="37">
        <v>45742</v>
      </c>
      <c r="G14" s="48">
        <v>45743</v>
      </c>
      <c r="H14" s="46">
        <v>45744</v>
      </c>
      <c r="I14" s="78">
        <v>45745</v>
      </c>
    </row>
    <row r="15" spans="2:9" s="59" customFormat="1" ht="75" customHeight="1" x14ac:dyDescent="0.15">
      <c r="B15" s="91"/>
      <c r="C15" s="144">
        <v>0.625</v>
      </c>
      <c r="D15" s="58"/>
      <c r="E15" s="146">
        <v>0.625</v>
      </c>
      <c r="F15" s="58"/>
      <c r="G15" s="144">
        <v>0.625</v>
      </c>
      <c r="H15" s="63"/>
      <c r="I15" s="98"/>
    </row>
    <row r="16" spans="2:9" s="36" customFormat="1" ht="25" customHeight="1" x14ac:dyDescent="0.2">
      <c r="B16" s="84"/>
      <c r="C16" s="46">
        <f t="array" ref="C16:I16">DaysAndWeeks+DATE(CalendarYear,3,1)-WEEKDAY(DATE(CalendarYear,3,1),(WeekStart="M")+1)+36</f>
        <v>45746</v>
      </c>
      <c r="D16" s="39">
        <v>45747</v>
      </c>
      <c r="E16" s="39">
        <v>45748</v>
      </c>
      <c r="F16" s="39">
        <v>45749</v>
      </c>
      <c r="G16" s="39">
        <v>45750</v>
      </c>
      <c r="H16" s="39">
        <v>45751</v>
      </c>
      <c r="I16" s="78">
        <v>45752</v>
      </c>
    </row>
    <row r="17" spans="2:9" s="6" customFormat="1" ht="75" customHeight="1" x14ac:dyDescent="0.15">
      <c r="B17" s="82"/>
      <c r="C17" s="47"/>
      <c r="D17" s="45"/>
      <c r="E17" s="45"/>
      <c r="F17" s="45"/>
      <c r="G17" s="45"/>
      <c r="H17" s="45"/>
      <c r="I17" s="100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J5" sqref="J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15">
      <c r="B3" s="83"/>
      <c r="C3" s="21"/>
      <c r="D3" s="21"/>
      <c r="E3" s="49"/>
      <c r="F3" s="49"/>
      <c r="G3" s="21" t="s">
        <v>13</v>
      </c>
      <c r="H3" s="21" t="s">
        <v>14</v>
      </c>
      <c r="I3" s="105"/>
    </row>
    <row r="4" spans="2:9" ht="75" customHeight="1" x14ac:dyDescent="0.65">
      <c r="B4" s="83"/>
      <c r="C4" s="161">
        <f>CalendarYear</f>
        <v>2025</v>
      </c>
      <c r="D4" s="177" t="s">
        <v>15</v>
      </c>
      <c r="E4" s="177"/>
      <c r="F4" s="177"/>
      <c r="G4" s="177"/>
      <c r="H4" s="177"/>
      <c r="I4" s="162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4"/>
      <c r="C6" s="46">
        <f t="array" ref="C6:I6">DaysAndWeeks+DATE(CalendarYear,4,1)-WEEKDAY(DATE(CalendarYear,4,1),(WeekStart="M")+1)+1</f>
        <v>45746</v>
      </c>
      <c r="D6" s="39">
        <v>45747</v>
      </c>
      <c r="E6" s="39">
        <v>45748</v>
      </c>
      <c r="F6" s="39">
        <v>45749</v>
      </c>
      <c r="G6" s="39">
        <v>45750</v>
      </c>
      <c r="H6" s="37">
        <v>45751</v>
      </c>
      <c r="I6" s="76">
        <v>45752</v>
      </c>
    </row>
    <row r="7" spans="2:9" s="59" customFormat="1" ht="75" customHeight="1" x14ac:dyDescent="0.15">
      <c r="B7" s="91"/>
      <c r="C7" s="63"/>
      <c r="D7" s="64"/>
      <c r="E7" s="64"/>
      <c r="F7" s="61"/>
      <c r="G7" s="148">
        <v>0.625</v>
      </c>
      <c r="H7" s="58"/>
      <c r="I7" s="92"/>
    </row>
    <row r="8" spans="2:9" s="36" customFormat="1" ht="25" customHeight="1" x14ac:dyDescent="0.2">
      <c r="B8" s="84"/>
      <c r="C8" s="40">
        <f t="array" ref="C8:I8">DaysAndWeeks+DATE(CalendarYear,4,1)-WEEKDAY(DATE(CalendarYear,4,1),(WeekStart="M")+1)+8</f>
        <v>45753</v>
      </c>
      <c r="D8" s="37">
        <v>45754</v>
      </c>
      <c r="E8" s="37">
        <v>45755</v>
      </c>
      <c r="F8" s="37">
        <v>45756</v>
      </c>
      <c r="G8" s="37">
        <v>45757</v>
      </c>
      <c r="H8" s="37">
        <v>45758</v>
      </c>
      <c r="I8" s="76">
        <v>45759</v>
      </c>
    </row>
    <row r="9" spans="2:9" s="59" customFormat="1" ht="75" customHeight="1" x14ac:dyDescent="0.15">
      <c r="B9" s="91"/>
      <c r="C9" s="149">
        <v>0.625</v>
      </c>
      <c r="D9" s="58"/>
      <c r="E9" s="146">
        <v>0.625</v>
      </c>
      <c r="F9" s="58"/>
      <c r="G9" s="149">
        <v>0.625</v>
      </c>
      <c r="H9" s="58"/>
      <c r="I9" s="92"/>
    </row>
    <row r="10" spans="2:9" s="36" customFormat="1" ht="25" customHeight="1" x14ac:dyDescent="0.2">
      <c r="B10" s="84"/>
      <c r="C10" s="40">
        <f t="array" ref="C10:I10">DaysAndWeeks+DATE(CalendarYear,4,1)-WEEKDAY(DATE(CalendarYear,4,1),(WeekStart="M")+1)+15</f>
        <v>45760</v>
      </c>
      <c r="D10" s="37">
        <v>45761</v>
      </c>
      <c r="E10" s="37">
        <v>45762</v>
      </c>
      <c r="F10" s="37">
        <v>45763</v>
      </c>
      <c r="G10" s="37">
        <v>45764</v>
      </c>
      <c r="H10" s="37">
        <v>45765</v>
      </c>
      <c r="I10" s="76">
        <v>45766</v>
      </c>
    </row>
    <row r="11" spans="2:9" s="59" customFormat="1" ht="75" customHeight="1" x14ac:dyDescent="0.15">
      <c r="B11" s="91"/>
      <c r="C11" s="144">
        <v>0.625</v>
      </c>
      <c r="D11" s="58"/>
      <c r="E11" s="146">
        <v>0.625</v>
      </c>
      <c r="F11" s="58"/>
      <c r="G11" s="60">
        <v>0.625</v>
      </c>
      <c r="H11" s="58"/>
      <c r="I11" s="92"/>
    </row>
    <row r="12" spans="2:9" s="36" customFormat="1" ht="25" customHeight="1" x14ac:dyDescent="0.2">
      <c r="B12" s="84"/>
      <c r="C12" s="40">
        <f t="array" ref="C12:I12">DaysAndWeeks+DATE(CalendarYear,4,1)-WEEKDAY(DATE(CalendarYear,4,1),(WeekStart="M")+1)+22</f>
        <v>45767</v>
      </c>
      <c r="D12" s="37">
        <v>45768</v>
      </c>
      <c r="E12" s="37">
        <v>45769</v>
      </c>
      <c r="F12" s="37">
        <v>45770</v>
      </c>
      <c r="G12" s="37">
        <v>45771</v>
      </c>
      <c r="H12" s="37">
        <v>45772</v>
      </c>
      <c r="I12" s="76">
        <v>45773</v>
      </c>
    </row>
    <row r="13" spans="2:9" s="59" customFormat="1" ht="75" customHeight="1" x14ac:dyDescent="0.15">
      <c r="B13" s="91"/>
      <c r="C13" s="149">
        <v>0.625</v>
      </c>
      <c r="D13" s="58"/>
      <c r="E13" s="146">
        <v>0.625</v>
      </c>
      <c r="F13" s="58"/>
      <c r="G13" s="149">
        <v>0.625</v>
      </c>
      <c r="H13" s="58"/>
      <c r="I13" s="92"/>
    </row>
    <row r="14" spans="2:9" s="36" customFormat="1" ht="25" customHeight="1" x14ac:dyDescent="0.2">
      <c r="B14" s="84"/>
      <c r="C14" s="40">
        <f t="array" ref="C14:I14">DaysAndWeeks+DATE(CalendarYear,4,1)-WEEKDAY(DATE(CalendarYear,4,1),(WeekStart="M")+1)+29</f>
        <v>45774</v>
      </c>
      <c r="D14" s="37">
        <v>45775</v>
      </c>
      <c r="E14" s="37">
        <v>45776</v>
      </c>
      <c r="F14" s="37">
        <v>45777</v>
      </c>
      <c r="G14" s="37">
        <v>45778</v>
      </c>
      <c r="H14" s="37">
        <v>45779</v>
      </c>
      <c r="I14" s="76">
        <v>45780</v>
      </c>
    </row>
    <row r="15" spans="2:9" s="59" customFormat="1" ht="75" customHeight="1" x14ac:dyDescent="0.15">
      <c r="B15" s="91"/>
      <c r="C15" s="144">
        <v>0.625</v>
      </c>
      <c r="D15" s="58"/>
      <c r="E15" s="149">
        <v>0.625</v>
      </c>
      <c r="F15" s="58"/>
      <c r="G15" s="146">
        <v>0.625</v>
      </c>
      <c r="H15" s="58"/>
      <c r="I15" s="92"/>
    </row>
    <row r="16" spans="2:9" s="36" customFormat="1" ht="25" customHeight="1" x14ac:dyDescent="0.2">
      <c r="B16" s="84"/>
      <c r="C16" s="55">
        <f t="array" ref="C16:I16">DaysAndWeeks+DATE(CalendarYear,4,1)-WEEKDAY(DATE(CalendarYear,4,1),(WeekStart="M")+1)+36</f>
        <v>45781</v>
      </c>
      <c r="D16" s="56">
        <v>45782</v>
      </c>
      <c r="E16" s="56">
        <v>45783</v>
      </c>
      <c r="F16" s="56">
        <v>45784</v>
      </c>
      <c r="G16" s="56">
        <v>45785</v>
      </c>
      <c r="H16" s="56">
        <v>45786</v>
      </c>
      <c r="I16" s="104">
        <v>45787</v>
      </c>
    </row>
    <row r="17" spans="2:9" s="6" customFormat="1" ht="75" customHeight="1" x14ac:dyDescent="0.15">
      <c r="B17" s="82"/>
      <c r="C17" s="99"/>
      <c r="D17" s="45"/>
      <c r="E17" s="45"/>
      <c r="F17" s="45"/>
      <c r="G17" s="45"/>
      <c r="H17" s="45"/>
      <c r="I17" s="100"/>
    </row>
    <row r="18" spans="2:9" ht="125" customHeight="1" thickBot="1" x14ac:dyDescent="0.2">
      <c r="B18" s="83"/>
      <c r="C18" s="174" t="s">
        <v>6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3">
      <c r="B3" s="83"/>
      <c r="C3" s="65"/>
      <c r="D3" s="66"/>
      <c r="E3" s="66"/>
      <c r="F3" s="32"/>
      <c r="G3" s="21" t="s">
        <v>16</v>
      </c>
      <c r="H3" s="21" t="s">
        <v>17</v>
      </c>
      <c r="I3" s="87"/>
    </row>
    <row r="4" spans="2:9" ht="75" customHeight="1" x14ac:dyDescent="0.65">
      <c r="B4" s="83"/>
      <c r="C4" s="161">
        <f>CalendarYear</f>
        <v>2025</v>
      </c>
      <c r="D4" s="177" t="s">
        <v>18</v>
      </c>
      <c r="E4" s="177"/>
      <c r="F4" s="177"/>
      <c r="G4" s="177"/>
      <c r="H4" s="177"/>
      <c r="I4" s="162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6"/>
      <c r="C6" s="132">
        <f t="array" ref="C6:I6">DaysAndWeeks+DATE(CalendarYear,5,1)-WEEKDAY(DATE(CalendarYear,5,1),(WeekStart="M")+1)+1</f>
        <v>45774</v>
      </c>
      <c r="D6" s="123">
        <v>45775</v>
      </c>
      <c r="E6" s="130">
        <v>45776</v>
      </c>
      <c r="F6" s="130">
        <v>45777</v>
      </c>
      <c r="G6" s="130">
        <v>45778</v>
      </c>
      <c r="H6" s="130">
        <v>45779</v>
      </c>
      <c r="I6" s="131">
        <v>45780</v>
      </c>
    </row>
    <row r="7" spans="2:9" s="59" customFormat="1" ht="75" customHeight="1" x14ac:dyDescent="0.15">
      <c r="B7" s="91"/>
      <c r="C7" s="150">
        <v>0.625</v>
      </c>
      <c r="D7" s="13"/>
      <c r="E7" s="151">
        <v>0.625</v>
      </c>
      <c r="F7" s="58"/>
      <c r="G7" s="151">
        <v>0.625</v>
      </c>
      <c r="H7" s="58"/>
      <c r="I7" s="92"/>
    </row>
    <row r="8" spans="2:9" s="38" customFormat="1" ht="25" customHeight="1" x14ac:dyDescent="0.2">
      <c r="B8" s="86"/>
      <c r="C8" s="129">
        <f t="array" ref="C8:I8">DaysAndWeeks+DATE(CalendarYear,5,1)-WEEKDAY(DATE(CalendarYear,5,1),(WeekStart="M")+1)+8</f>
        <v>45781</v>
      </c>
      <c r="D8" s="123">
        <v>45782</v>
      </c>
      <c r="E8" s="123">
        <v>45783</v>
      </c>
      <c r="F8" s="123">
        <v>45784</v>
      </c>
      <c r="G8" s="123">
        <v>45785</v>
      </c>
      <c r="H8" s="123">
        <v>45786</v>
      </c>
      <c r="I8" s="124">
        <v>45787</v>
      </c>
    </row>
    <row r="9" spans="2:9" s="59" customFormat="1" ht="75" customHeight="1" x14ac:dyDescent="0.15">
      <c r="B9" s="91"/>
      <c r="C9" s="149">
        <v>0.625</v>
      </c>
      <c r="D9" s="58"/>
      <c r="E9" s="151">
        <v>0.625</v>
      </c>
      <c r="F9" s="58"/>
      <c r="G9" s="151">
        <v>0.625</v>
      </c>
      <c r="H9" s="58"/>
      <c r="I9" s="92"/>
    </row>
    <row r="10" spans="2:9" s="38" customFormat="1" ht="25" customHeight="1" x14ac:dyDescent="0.2">
      <c r="B10" s="86"/>
      <c r="C10" s="129">
        <f t="array" ref="C10:I10">DaysAndWeeks+DATE(CalendarYear,5,1)-WEEKDAY(DATE(CalendarYear,5,1),(WeekStart="M")+1)+15</f>
        <v>45788</v>
      </c>
      <c r="D10" s="123">
        <v>45789</v>
      </c>
      <c r="E10" s="123">
        <v>45790</v>
      </c>
      <c r="F10" s="132">
        <v>45791</v>
      </c>
      <c r="G10" s="123">
        <v>45792</v>
      </c>
      <c r="H10" s="123">
        <v>45793</v>
      </c>
      <c r="I10" s="124">
        <v>45794</v>
      </c>
    </row>
    <row r="11" spans="2:9" s="59" customFormat="1" ht="75" customHeight="1" x14ac:dyDescent="0.15">
      <c r="B11" s="91"/>
      <c r="C11" s="149">
        <v>0.625</v>
      </c>
      <c r="D11" s="58"/>
      <c r="E11" s="151">
        <v>0.625</v>
      </c>
      <c r="F11" s="133"/>
      <c r="G11" s="151">
        <v>0.625</v>
      </c>
      <c r="H11" s="58"/>
      <c r="I11" s="92"/>
    </row>
    <row r="12" spans="2:9" s="38" customFormat="1" ht="25" customHeight="1" x14ac:dyDescent="0.2">
      <c r="B12" s="86"/>
      <c r="C12" s="129">
        <f t="array" ref="C12:I12">DaysAndWeeks+DATE(CalendarYear,5,1)-WEEKDAY(DATE(CalendarYear,5,1),(WeekStart="M")+1)+22</f>
        <v>45795</v>
      </c>
      <c r="D12" s="123">
        <v>45796</v>
      </c>
      <c r="E12" s="123">
        <v>45797</v>
      </c>
      <c r="F12" s="123">
        <v>45798</v>
      </c>
      <c r="G12" s="123">
        <v>45799</v>
      </c>
      <c r="H12" s="123">
        <v>45800</v>
      </c>
      <c r="I12" s="124">
        <v>45801</v>
      </c>
    </row>
    <row r="13" spans="2:9" s="59" customFormat="1" ht="75" customHeight="1" x14ac:dyDescent="0.15">
      <c r="B13" s="91"/>
      <c r="C13" s="149">
        <v>0.625</v>
      </c>
      <c r="D13" s="58"/>
      <c r="E13" s="151">
        <v>0.625</v>
      </c>
      <c r="F13" s="58"/>
      <c r="G13" s="151">
        <v>0.625</v>
      </c>
      <c r="H13" s="58"/>
      <c r="I13" s="92"/>
    </row>
    <row r="14" spans="2:9" s="38" customFormat="1" ht="25" customHeight="1" x14ac:dyDescent="0.2">
      <c r="B14" s="86"/>
      <c r="C14" s="129">
        <f t="array" ref="C14:I14">DaysAndWeeks+DATE(CalendarYear,5,1)-WEEKDAY(DATE(CalendarYear,5,1),(WeekStart="M")+1)+29</f>
        <v>45802</v>
      </c>
      <c r="D14" s="123">
        <v>45803</v>
      </c>
      <c r="E14" s="123">
        <v>45804</v>
      </c>
      <c r="F14" s="123">
        <v>45805</v>
      </c>
      <c r="G14" s="39">
        <v>45806</v>
      </c>
      <c r="H14" s="39">
        <v>45807</v>
      </c>
      <c r="I14" s="78">
        <v>45808</v>
      </c>
    </row>
    <row r="15" spans="2:9" s="59" customFormat="1" ht="75" customHeight="1" x14ac:dyDescent="0.15">
      <c r="B15" s="91"/>
      <c r="C15" s="149">
        <v>0.625</v>
      </c>
      <c r="D15" s="154"/>
      <c r="E15" s="151">
        <v>0.625</v>
      </c>
      <c r="F15" s="58"/>
      <c r="G15" s="61"/>
      <c r="H15" s="61"/>
      <c r="I15" s="98"/>
    </row>
    <row r="16" spans="2:9" s="36" customFormat="1" ht="25" customHeight="1" x14ac:dyDescent="0.2">
      <c r="B16" s="84"/>
      <c r="C16" s="46">
        <f t="array" ref="C16:I16">DaysAndWeeks+DATE(CalendarYear,5,1)-WEEKDAY(DATE(CalendarYear,5,1),(WeekStart="M")+1)+36</f>
        <v>45809</v>
      </c>
      <c r="D16" s="39">
        <v>45810</v>
      </c>
      <c r="E16" s="39">
        <v>45811</v>
      </c>
      <c r="F16" s="39">
        <v>45812</v>
      </c>
      <c r="G16" s="39">
        <v>45813</v>
      </c>
      <c r="H16" s="39">
        <v>45814</v>
      </c>
      <c r="I16" s="78">
        <v>45815</v>
      </c>
    </row>
    <row r="17" spans="2:9" ht="75" customHeight="1" x14ac:dyDescent="0.15">
      <c r="B17" s="83"/>
      <c r="C17" s="51"/>
      <c r="D17" s="50"/>
      <c r="E17" s="50"/>
      <c r="F17" s="50"/>
      <c r="G17" s="50"/>
      <c r="H17" s="50"/>
      <c r="I17" s="106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3">
      <c r="B3" s="83"/>
      <c r="C3" s="65"/>
      <c r="D3" s="66"/>
      <c r="E3" s="66"/>
      <c r="F3" s="67"/>
      <c r="G3" s="21" t="s">
        <v>19</v>
      </c>
      <c r="H3" s="21" t="s">
        <v>20</v>
      </c>
      <c r="I3" s="87"/>
    </row>
    <row r="4" spans="2:9" ht="75" customHeight="1" x14ac:dyDescent="0.65">
      <c r="B4" s="83"/>
      <c r="C4" s="161">
        <f>CalendarYear</f>
        <v>2025</v>
      </c>
      <c r="D4" s="177" t="s">
        <v>21</v>
      </c>
      <c r="E4" s="177"/>
      <c r="F4" s="177"/>
      <c r="G4" s="177"/>
      <c r="H4" s="177"/>
      <c r="I4" s="162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4"/>
      <c r="C6" s="46">
        <f t="array" ref="C6:I6">DaysAndWeeks+DATE(CalendarYear,6,1)-WEEKDAY(DATE(CalendarYear,6,1),(WeekStart="M")+1)+1</f>
        <v>45809</v>
      </c>
      <c r="D6" s="39">
        <v>45810</v>
      </c>
      <c r="E6" s="39">
        <v>45811</v>
      </c>
      <c r="F6" s="37">
        <v>45812</v>
      </c>
      <c r="G6" s="37">
        <v>45813</v>
      </c>
      <c r="H6" s="37">
        <v>45814</v>
      </c>
      <c r="I6" s="76">
        <v>45815</v>
      </c>
    </row>
    <row r="7" spans="2:9" s="74" customFormat="1" ht="75" customHeight="1" x14ac:dyDescent="0.15">
      <c r="B7" s="85"/>
      <c r="C7" s="75"/>
      <c r="D7" s="73"/>
      <c r="E7" s="153">
        <v>0.625</v>
      </c>
      <c r="F7" s="57"/>
      <c r="G7" s="152">
        <v>0.625</v>
      </c>
      <c r="H7" s="68"/>
      <c r="I7" s="77"/>
    </row>
    <row r="8" spans="2:9" s="38" customFormat="1" ht="25" customHeight="1" x14ac:dyDescent="0.2">
      <c r="B8" s="86"/>
      <c r="C8" s="40">
        <f t="array" ref="C8:I8">DaysAndWeeks+DATE(CalendarYear,6,1)-WEEKDAY(DATE(CalendarYear,6,1),(WeekStart="M")+1)+8</f>
        <v>45816</v>
      </c>
      <c r="D8" s="37">
        <v>45817</v>
      </c>
      <c r="E8" s="37">
        <v>45818</v>
      </c>
      <c r="F8" s="37">
        <v>45819</v>
      </c>
      <c r="G8" s="37">
        <v>45820</v>
      </c>
      <c r="H8" s="37">
        <v>45821</v>
      </c>
      <c r="I8" s="76">
        <v>45822</v>
      </c>
    </row>
    <row r="9" spans="2:9" s="74" customFormat="1" ht="75" customHeight="1" x14ac:dyDescent="0.15">
      <c r="B9" s="85"/>
      <c r="C9" s="156">
        <v>0.625</v>
      </c>
      <c r="D9" s="155"/>
      <c r="E9" s="152">
        <v>0.625</v>
      </c>
      <c r="F9" s="155"/>
      <c r="G9" s="152">
        <v>0.625</v>
      </c>
      <c r="H9" s="68"/>
      <c r="I9" s="77"/>
    </row>
    <row r="10" spans="2:9" s="38" customFormat="1" ht="25" customHeight="1" x14ac:dyDescent="0.2">
      <c r="B10" s="86"/>
      <c r="C10" s="40">
        <f t="array" ref="C10:I10">DaysAndWeeks+DATE(CalendarYear,6,1)-WEEKDAY(DATE(CalendarYear,6,1),(WeekStart="M")+1)+15</f>
        <v>45823</v>
      </c>
      <c r="D10" s="37">
        <v>45824</v>
      </c>
      <c r="E10" s="37">
        <v>45825</v>
      </c>
      <c r="F10" s="37">
        <v>45826</v>
      </c>
      <c r="G10" s="37">
        <v>45827</v>
      </c>
      <c r="H10" s="37">
        <v>45828</v>
      </c>
      <c r="I10" s="76">
        <v>45829</v>
      </c>
    </row>
    <row r="11" spans="2:9" s="74" customFormat="1" ht="75" customHeight="1" x14ac:dyDescent="0.15">
      <c r="B11" s="85"/>
      <c r="C11" s="156">
        <v>0.625</v>
      </c>
      <c r="D11" s="155"/>
      <c r="E11" s="152">
        <v>0.625</v>
      </c>
      <c r="F11" s="155"/>
      <c r="G11" s="152">
        <v>0.625</v>
      </c>
      <c r="H11" s="68"/>
      <c r="I11" s="77"/>
    </row>
    <row r="12" spans="2:9" s="38" customFormat="1" ht="25" customHeight="1" x14ac:dyDescent="0.2">
      <c r="B12" s="86"/>
      <c r="C12" s="40">
        <f t="array" ref="C12:I12">DaysAndWeeks+DATE(CalendarYear,6,1)-WEEKDAY(DATE(CalendarYear,6,1),(WeekStart="M")+1)+22</f>
        <v>45830</v>
      </c>
      <c r="D12" s="37">
        <v>45831</v>
      </c>
      <c r="E12" s="37">
        <v>45832</v>
      </c>
      <c r="F12" s="37">
        <v>45833</v>
      </c>
      <c r="G12" s="37">
        <v>45834</v>
      </c>
      <c r="H12" s="37">
        <v>45835</v>
      </c>
      <c r="I12" s="76">
        <v>45836</v>
      </c>
    </row>
    <row r="13" spans="2:9" s="74" customFormat="1" ht="75" customHeight="1" x14ac:dyDescent="0.15">
      <c r="B13" s="85"/>
      <c r="C13" s="156">
        <v>0.625</v>
      </c>
      <c r="D13" s="155"/>
      <c r="E13" s="152">
        <v>0.625</v>
      </c>
      <c r="F13" s="155"/>
      <c r="G13" s="152">
        <v>0.625</v>
      </c>
      <c r="H13" s="68"/>
      <c r="I13" s="77"/>
    </row>
    <row r="14" spans="2:9" s="38" customFormat="1" ht="25" customHeight="1" x14ac:dyDescent="0.2">
      <c r="B14" s="86"/>
      <c r="C14" s="40">
        <f t="array" ref="C14:I14">DaysAndWeeks+DATE(CalendarYear,6,1)-WEEKDAY(DATE(CalendarYear,6,1),(WeekStart="M")+1)+29</f>
        <v>45837</v>
      </c>
      <c r="D14" s="37">
        <v>45838</v>
      </c>
      <c r="E14" s="37">
        <v>45839</v>
      </c>
      <c r="F14" s="37">
        <v>45840</v>
      </c>
      <c r="G14" s="37">
        <v>45841</v>
      </c>
      <c r="H14" s="39">
        <v>45842</v>
      </c>
      <c r="I14" s="78">
        <v>45843</v>
      </c>
    </row>
    <row r="15" spans="2:9" s="74" customFormat="1" ht="75" customHeight="1" x14ac:dyDescent="0.15">
      <c r="B15" s="85"/>
      <c r="C15" s="156">
        <v>0.625</v>
      </c>
      <c r="D15" s="155"/>
      <c r="E15" s="152">
        <v>0.625</v>
      </c>
      <c r="F15" s="155"/>
      <c r="G15" s="152">
        <v>0.625</v>
      </c>
      <c r="H15" s="73"/>
      <c r="I15" s="79"/>
    </row>
    <row r="16" spans="2:9" s="36" customFormat="1" ht="25" customHeight="1" x14ac:dyDescent="0.2">
      <c r="B16" s="84"/>
      <c r="C16" s="46">
        <f t="array" ref="C16:I16">DaysAndWeeks+DATE(CalendarYear,6,1)-WEEKDAY(DATE(CalendarYear,6,1),(WeekStart="M")+1)+36</f>
        <v>45844</v>
      </c>
      <c r="D16" s="39">
        <v>45845</v>
      </c>
      <c r="E16" s="39">
        <v>45846</v>
      </c>
      <c r="F16" s="39">
        <v>45847</v>
      </c>
      <c r="G16" s="39">
        <v>45848</v>
      </c>
      <c r="H16" s="39">
        <v>45849</v>
      </c>
      <c r="I16" s="78">
        <v>45850</v>
      </c>
    </row>
    <row r="17" spans="2:9" s="36" customFormat="1" ht="75" customHeight="1" x14ac:dyDescent="0.2">
      <c r="B17" s="84"/>
      <c r="C17" s="80"/>
      <c r="D17" s="70"/>
      <c r="E17" s="70"/>
      <c r="F17" s="70"/>
      <c r="G17" s="70"/>
      <c r="H17" s="70"/>
      <c r="I17" s="81"/>
    </row>
    <row r="18" spans="2:9" ht="125" customHeight="1" thickBot="1" x14ac:dyDescent="0.2">
      <c r="B18" s="83"/>
      <c r="C18" s="174" t="s">
        <v>6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3">
      <c r="B3" s="83"/>
      <c r="C3" s="65"/>
      <c r="D3" s="66"/>
      <c r="E3" s="66"/>
      <c r="F3" s="67"/>
      <c r="G3" s="21" t="s">
        <v>22</v>
      </c>
      <c r="H3" s="21" t="s">
        <v>23</v>
      </c>
      <c r="I3" s="87"/>
    </row>
    <row r="4" spans="2:9" ht="75" customHeight="1" x14ac:dyDescent="0.65">
      <c r="B4" s="83"/>
      <c r="C4" s="161">
        <f>CalendarYear</f>
        <v>2025</v>
      </c>
      <c r="D4" s="173" t="s">
        <v>24</v>
      </c>
      <c r="E4" s="173"/>
      <c r="F4" s="173"/>
      <c r="G4" s="173"/>
      <c r="H4" s="173"/>
      <c r="I4" s="162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6"/>
      <c r="C6" s="46">
        <f t="array" ref="C6:I6">DaysAndWeeks+DATE(CalendarYear,7,1)-WEEKDAY(DATE(CalendarYear,7,1),(WeekStart="M")+1)+1</f>
        <v>45837</v>
      </c>
      <c r="D6" s="39">
        <v>45838</v>
      </c>
      <c r="E6" s="39">
        <v>45839</v>
      </c>
      <c r="F6" s="71">
        <v>45840</v>
      </c>
      <c r="G6" s="39">
        <v>45841</v>
      </c>
      <c r="H6" s="37">
        <v>45842</v>
      </c>
      <c r="I6" s="76">
        <v>45843</v>
      </c>
    </row>
    <row r="7" spans="2:9" s="59" customFormat="1" ht="75" customHeight="1" x14ac:dyDescent="0.15">
      <c r="B7" s="91"/>
      <c r="C7" s="63"/>
      <c r="D7" s="61"/>
      <c r="E7" s="61"/>
      <c r="F7" s="107"/>
      <c r="G7" s="157">
        <v>0.625</v>
      </c>
      <c r="H7" s="58"/>
      <c r="I7" s="92"/>
    </row>
    <row r="8" spans="2:9" s="38" customFormat="1" ht="25" customHeight="1" x14ac:dyDescent="0.2">
      <c r="B8" s="86"/>
      <c r="C8" s="40">
        <f t="array" ref="C8:I8">DaysAndWeeks+DATE(CalendarYear,7,1)-WEEKDAY(DATE(CalendarYear,7,1),(WeekStart="M")+1)+8</f>
        <v>45844</v>
      </c>
      <c r="D8" s="37">
        <v>45845</v>
      </c>
      <c r="E8" s="37">
        <v>45846</v>
      </c>
      <c r="F8" s="37">
        <v>45847</v>
      </c>
      <c r="G8" s="37">
        <v>45848</v>
      </c>
      <c r="H8" s="37">
        <v>45849</v>
      </c>
      <c r="I8" s="76">
        <v>45850</v>
      </c>
    </row>
    <row r="9" spans="2:9" s="59" customFormat="1" ht="75" customHeight="1" x14ac:dyDescent="0.15">
      <c r="B9" s="91"/>
      <c r="C9" s="149">
        <v>0.625</v>
      </c>
      <c r="D9" s="154"/>
      <c r="E9" s="151">
        <v>0.625</v>
      </c>
      <c r="F9" s="154"/>
      <c r="G9" s="151">
        <v>0.625</v>
      </c>
      <c r="H9" s="58"/>
      <c r="I9" s="92"/>
    </row>
    <row r="10" spans="2:9" s="38" customFormat="1" ht="25" customHeight="1" x14ac:dyDescent="0.2">
      <c r="B10" s="86"/>
      <c r="C10" s="40">
        <f t="array" ref="C10:I10">DaysAndWeeks+DATE(CalendarYear,7,1)-WEEKDAY(DATE(CalendarYear,7,1),(WeekStart="M")+1)+15</f>
        <v>45851</v>
      </c>
      <c r="D10" s="37">
        <v>45852</v>
      </c>
      <c r="E10" s="37">
        <v>45853</v>
      </c>
      <c r="F10" s="37">
        <v>45854</v>
      </c>
      <c r="G10" s="37">
        <v>45855</v>
      </c>
      <c r="H10" s="37">
        <v>45856</v>
      </c>
      <c r="I10" s="76">
        <v>45857</v>
      </c>
    </row>
    <row r="11" spans="2:9" s="59" customFormat="1" ht="75" customHeight="1" x14ac:dyDescent="0.15">
      <c r="B11" s="91"/>
      <c r="C11" s="149">
        <v>0.625</v>
      </c>
      <c r="D11" s="154"/>
      <c r="E11" s="151">
        <v>0.625</v>
      </c>
      <c r="F11" s="154"/>
      <c r="G11" s="151">
        <v>0.625</v>
      </c>
      <c r="H11" s="58"/>
      <c r="I11" s="92"/>
    </row>
    <row r="12" spans="2:9" s="38" customFormat="1" ht="25" customHeight="1" x14ac:dyDescent="0.2">
      <c r="B12" s="86"/>
      <c r="C12" s="40">
        <f t="array" ref="C12:I12">DaysAndWeeks+DATE(CalendarYear,7,1)-WEEKDAY(DATE(CalendarYear,7,1),(WeekStart="M")+1)+22</f>
        <v>45858</v>
      </c>
      <c r="D12" s="37">
        <v>45859</v>
      </c>
      <c r="E12" s="37">
        <v>45860</v>
      </c>
      <c r="F12" s="37">
        <v>45861</v>
      </c>
      <c r="G12" s="37">
        <v>45862</v>
      </c>
      <c r="H12" s="37">
        <v>45863</v>
      </c>
      <c r="I12" s="76">
        <v>45864</v>
      </c>
    </row>
    <row r="13" spans="2:9" s="59" customFormat="1" ht="75" customHeight="1" x14ac:dyDescent="0.15">
      <c r="B13" s="91"/>
      <c r="C13" s="149">
        <v>0.625</v>
      </c>
      <c r="D13" s="154"/>
      <c r="E13" s="151">
        <v>0.625</v>
      </c>
      <c r="F13" s="154"/>
      <c r="G13" s="151">
        <v>0.625</v>
      </c>
      <c r="H13" s="58"/>
      <c r="I13" s="92"/>
    </row>
    <row r="14" spans="2:9" s="36" customFormat="1" ht="25" customHeight="1" x14ac:dyDescent="0.2">
      <c r="B14" s="84"/>
      <c r="C14" s="40">
        <f t="array" ref="C14:I14">DaysAndWeeks+DATE(CalendarYear,7,1)-WEEKDAY(DATE(CalendarYear,7,1),(WeekStart="M")+1)+29</f>
        <v>45865</v>
      </c>
      <c r="D14" s="37">
        <v>45866</v>
      </c>
      <c r="E14" s="37">
        <v>45867</v>
      </c>
      <c r="F14" s="37">
        <v>45868</v>
      </c>
      <c r="G14" s="37">
        <v>45869</v>
      </c>
      <c r="H14" s="37">
        <v>45870</v>
      </c>
      <c r="I14" s="76">
        <v>45871</v>
      </c>
    </row>
    <row r="15" spans="2:9" s="59" customFormat="1" ht="75" customHeight="1" x14ac:dyDescent="0.15">
      <c r="B15" s="91"/>
      <c r="C15" s="149">
        <v>0.625</v>
      </c>
      <c r="D15" s="154"/>
      <c r="E15" s="151">
        <v>0.625</v>
      </c>
      <c r="F15" s="154"/>
      <c r="G15" s="151">
        <v>0.625</v>
      </c>
      <c r="H15" s="58"/>
      <c r="I15" s="109"/>
    </row>
    <row r="16" spans="2:9" s="38" customFormat="1" ht="25" customHeight="1" x14ac:dyDescent="0.2">
      <c r="B16" s="86"/>
      <c r="C16" s="40">
        <f t="array" ref="C16:I16">DaysAndWeeks+DATE(CalendarYear,7,1)-WEEKDAY(DATE(CalendarYear,7,1),(WeekStart="M")+1)+36</f>
        <v>45872</v>
      </c>
      <c r="D16" s="123">
        <v>45873</v>
      </c>
      <c r="E16" s="39">
        <v>45874</v>
      </c>
      <c r="F16" s="39">
        <v>45875</v>
      </c>
      <c r="G16" s="39">
        <v>45876</v>
      </c>
      <c r="H16" s="39">
        <v>45877</v>
      </c>
      <c r="I16" s="78">
        <v>45878</v>
      </c>
    </row>
    <row r="17" spans="2:9" s="59" customFormat="1" ht="75" customHeight="1" x14ac:dyDescent="0.15">
      <c r="B17" s="91"/>
      <c r="C17" s="149">
        <v>0.625</v>
      </c>
      <c r="D17" s="58"/>
      <c r="E17" s="61"/>
      <c r="F17" s="61"/>
      <c r="G17" s="61"/>
      <c r="H17" s="61"/>
      <c r="I17" s="98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7" x14ac:dyDescent="0.15"/>
  <cols>
    <col min="1" max="2" width="2.625" style="36" customWidth="1"/>
    <col min="3" max="9" width="24.375" style="36" customWidth="1"/>
    <col min="10" max="16384" width="8.625" style="36"/>
  </cols>
  <sheetData>
    <row r="1" spans="2:9" ht="15" customHeight="1" thickBot="1" x14ac:dyDescent="0.2"/>
    <row r="2" spans="2:9" ht="75" customHeight="1" thickTop="1" x14ac:dyDescent="0.15">
      <c r="B2" s="84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2">
      <c r="B3" s="84"/>
      <c r="C3" s="110"/>
      <c r="D3" s="111"/>
      <c r="E3" s="111"/>
      <c r="F3" s="112"/>
      <c r="G3" s="52" t="s">
        <v>25</v>
      </c>
      <c r="H3" s="52" t="s">
        <v>26</v>
      </c>
      <c r="I3" s="118"/>
    </row>
    <row r="4" spans="2:9" ht="75" customHeight="1" x14ac:dyDescent="0.65">
      <c r="B4" s="84"/>
      <c r="C4" s="161">
        <f>CalendarYear</f>
        <v>2025</v>
      </c>
      <c r="D4" s="173" t="s">
        <v>27</v>
      </c>
      <c r="E4" s="173"/>
      <c r="F4" s="173"/>
      <c r="G4" s="173"/>
      <c r="H4" s="173"/>
      <c r="I4" s="162"/>
    </row>
    <row r="5" spans="2:9" ht="35" customHeight="1" x14ac:dyDescent="0.15">
      <c r="B5" s="84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113" customFormat="1" ht="25" customHeight="1" x14ac:dyDescent="0.2">
      <c r="B6" s="116"/>
      <c r="C6" s="115">
        <f t="array" ref="C6:I6">DaysAndWeeks+DATE(CalendarYear,8,1)-WEEKDAY(DATE(CalendarYear,8,1),(WeekStart="M")+1)+1</f>
        <v>45865</v>
      </c>
      <c r="D6" s="115">
        <v>45866</v>
      </c>
      <c r="E6" s="69">
        <v>45867</v>
      </c>
      <c r="F6" s="69">
        <v>45868</v>
      </c>
      <c r="G6" s="69">
        <v>45869</v>
      </c>
      <c r="H6" s="69">
        <v>45870</v>
      </c>
      <c r="I6" s="117">
        <v>45871</v>
      </c>
    </row>
    <row r="7" spans="2:9" s="74" customFormat="1" ht="75" customHeight="1" x14ac:dyDescent="0.15">
      <c r="B7" s="85"/>
      <c r="C7" s="158">
        <v>0.625</v>
      </c>
      <c r="D7" s="158"/>
      <c r="E7" s="152">
        <v>0.625</v>
      </c>
      <c r="F7" s="155"/>
      <c r="G7" s="152">
        <v>0.625</v>
      </c>
      <c r="H7" s="68"/>
      <c r="I7" s="77"/>
    </row>
    <row r="8" spans="2:9" ht="25" customHeight="1" x14ac:dyDescent="0.2">
      <c r="B8" s="84"/>
      <c r="C8" s="40">
        <f t="array" ref="C8:I8">DaysAndWeeks+DATE(CalendarYear,8,1)-WEEKDAY(DATE(CalendarYear,8,1),(WeekStart="M")+1)+8</f>
        <v>45872</v>
      </c>
      <c r="D8" s="123">
        <v>45873</v>
      </c>
      <c r="E8" s="37">
        <v>45874</v>
      </c>
      <c r="F8" s="37">
        <v>45875</v>
      </c>
      <c r="G8" s="37">
        <v>45876</v>
      </c>
      <c r="H8" s="37">
        <v>45877</v>
      </c>
      <c r="I8" s="76">
        <v>45878</v>
      </c>
    </row>
    <row r="9" spans="2:9" s="74" customFormat="1" ht="75" customHeight="1" x14ac:dyDescent="0.15">
      <c r="B9" s="85"/>
      <c r="C9" s="156">
        <v>0.625</v>
      </c>
      <c r="D9" s="155"/>
      <c r="E9" s="152">
        <v>0.625</v>
      </c>
      <c r="F9" s="155"/>
      <c r="G9" s="152">
        <v>0.625</v>
      </c>
      <c r="H9" s="68"/>
      <c r="I9" s="77"/>
    </row>
    <row r="10" spans="2:9" ht="25" customHeight="1" x14ac:dyDescent="0.2">
      <c r="B10" s="84"/>
      <c r="C10" s="40">
        <f t="array" ref="C10:I10">DaysAndWeeks+DATE(CalendarYear,8,1)-WEEKDAY(DATE(CalendarYear,8,1),(WeekStart="M")+1)+15</f>
        <v>45879</v>
      </c>
      <c r="D10" s="123">
        <v>45880</v>
      </c>
      <c r="E10" s="37">
        <v>45881</v>
      </c>
      <c r="F10" s="37">
        <v>45882</v>
      </c>
      <c r="G10" s="37">
        <v>45883</v>
      </c>
      <c r="H10" s="37">
        <v>45884</v>
      </c>
      <c r="I10" s="76">
        <v>45885</v>
      </c>
    </row>
    <row r="11" spans="2:9" s="74" customFormat="1" ht="75" customHeight="1" x14ac:dyDescent="0.15">
      <c r="B11" s="85"/>
      <c r="C11" s="156">
        <v>0.625</v>
      </c>
      <c r="D11" s="155"/>
      <c r="E11" s="152">
        <v>0.625</v>
      </c>
      <c r="F11" s="155"/>
      <c r="G11" s="152">
        <v>0.625</v>
      </c>
      <c r="H11" s="68"/>
      <c r="I11" s="77"/>
    </row>
    <row r="12" spans="2:9" ht="25" customHeight="1" x14ac:dyDescent="0.2">
      <c r="B12" s="84"/>
      <c r="C12" s="40">
        <f t="array" ref="C12:I12">DaysAndWeeks+DATE(CalendarYear,8,1)-WEEKDAY(DATE(CalendarYear,8,1),(WeekStart="M")+1)+22</f>
        <v>45886</v>
      </c>
      <c r="D12" s="123">
        <v>45887</v>
      </c>
      <c r="E12" s="37">
        <v>45888</v>
      </c>
      <c r="F12" s="37">
        <v>45889</v>
      </c>
      <c r="G12" s="37">
        <v>45890</v>
      </c>
      <c r="H12" s="37">
        <v>45891</v>
      </c>
      <c r="I12" s="76">
        <v>45892</v>
      </c>
    </row>
    <row r="13" spans="2:9" s="74" customFormat="1" ht="75" customHeight="1" x14ac:dyDescent="0.15">
      <c r="B13" s="85"/>
      <c r="C13" s="156">
        <v>0.625</v>
      </c>
      <c r="D13" s="155"/>
      <c r="E13" s="152">
        <v>0.625</v>
      </c>
      <c r="F13" s="155"/>
      <c r="G13" s="152">
        <v>0.625</v>
      </c>
      <c r="H13" s="68"/>
      <c r="I13" s="77"/>
    </row>
    <row r="14" spans="2:9" ht="25" customHeight="1" x14ac:dyDescent="0.2">
      <c r="B14" s="84"/>
      <c r="C14" s="40">
        <f t="array" ref="C14:I14">DaysAndWeeks+DATE(CalendarYear,8,1)-WEEKDAY(DATE(CalendarYear,8,1),(WeekStart="M")+1)+29</f>
        <v>45893</v>
      </c>
      <c r="D14" s="37">
        <v>45894</v>
      </c>
      <c r="E14" s="37">
        <v>45895</v>
      </c>
      <c r="F14" s="37">
        <v>45896</v>
      </c>
      <c r="G14" s="123">
        <v>45897</v>
      </c>
      <c r="H14" s="39">
        <v>45898</v>
      </c>
      <c r="I14" s="78">
        <v>45899</v>
      </c>
    </row>
    <row r="15" spans="2:9" s="74" customFormat="1" ht="75" customHeight="1" x14ac:dyDescent="0.15">
      <c r="B15" s="85"/>
      <c r="C15" s="156">
        <v>0.625</v>
      </c>
      <c r="D15" s="155"/>
      <c r="E15" s="152">
        <v>0.625</v>
      </c>
      <c r="F15" s="68"/>
      <c r="G15" s="68"/>
      <c r="H15" s="73"/>
      <c r="I15" s="79"/>
    </row>
    <row r="16" spans="2:9" ht="25" customHeight="1" x14ac:dyDescent="0.2">
      <c r="B16" s="84"/>
      <c r="C16" s="46">
        <f t="array" ref="C16:I16">DaysAndWeeks+DATE(CalendarYear,8,1)-WEEKDAY(DATE(CalendarYear,8,1),(WeekStart="M")+1)+36</f>
        <v>45900</v>
      </c>
      <c r="D16" s="39">
        <v>45901</v>
      </c>
      <c r="E16" s="39">
        <v>45902</v>
      </c>
      <c r="F16" s="39">
        <v>45903</v>
      </c>
      <c r="G16" s="39">
        <v>45904</v>
      </c>
      <c r="H16" s="39">
        <v>45905</v>
      </c>
      <c r="I16" s="78">
        <v>45906</v>
      </c>
    </row>
    <row r="17" spans="2:9" s="74" customFormat="1" ht="75" customHeight="1" x14ac:dyDescent="0.15">
      <c r="B17" s="85"/>
      <c r="C17" s="75"/>
      <c r="D17" s="73"/>
      <c r="E17" s="73"/>
      <c r="F17" s="73"/>
      <c r="G17" s="73"/>
      <c r="H17" s="73"/>
      <c r="I17" s="79"/>
    </row>
    <row r="18" spans="2:9" s="1" customFormat="1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3">
      <c r="B3" s="83"/>
      <c r="C3" s="65"/>
      <c r="D3" s="66"/>
      <c r="E3" s="66"/>
      <c r="F3" s="67"/>
      <c r="G3" s="21" t="s">
        <v>28</v>
      </c>
      <c r="H3" s="21" t="s">
        <v>29</v>
      </c>
      <c r="I3" s="87"/>
    </row>
    <row r="4" spans="2:9" ht="75" customHeight="1" x14ac:dyDescent="0.65">
      <c r="B4" s="83"/>
      <c r="C4" s="161">
        <f>CalendarYear</f>
        <v>2025</v>
      </c>
      <c r="D4" s="178" t="s">
        <v>30</v>
      </c>
      <c r="E4" s="178"/>
      <c r="F4" s="178"/>
      <c r="G4" s="178"/>
      <c r="H4" s="178"/>
      <c r="I4" s="160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6"/>
      <c r="C6" s="46">
        <f t="array" ref="C6:I6">DaysAndWeeks+DATE(CalendarYear,9,1)-WEEKDAY(DATE(CalendarYear,9,1),(WeekStart="M")+1)+1</f>
        <v>45900</v>
      </c>
      <c r="D6" s="39">
        <v>45901</v>
      </c>
      <c r="E6" s="39">
        <v>45902</v>
      </c>
      <c r="F6" s="39">
        <v>45903</v>
      </c>
      <c r="G6" s="37">
        <v>45904</v>
      </c>
      <c r="H6" s="37">
        <v>45905</v>
      </c>
      <c r="I6" s="76">
        <v>45906</v>
      </c>
    </row>
    <row r="7" spans="2:9" s="59" customFormat="1" ht="75" customHeight="1" x14ac:dyDescent="0.15">
      <c r="B7" s="91"/>
      <c r="C7" s="63"/>
      <c r="D7" s="61"/>
      <c r="E7" s="61"/>
      <c r="F7" s="61"/>
      <c r="G7" s="146">
        <v>0.625</v>
      </c>
      <c r="H7" s="58"/>
      <c r="I7" s="92"/>
    </row>
    <row r="8" spans="2:9" s="38" customFormat="1" ht="25" customHeight="1" x14ac:dyDescent="0.2">
      <c r="B8" s="86"/>
      <c r="C8" s="40">
        <f t="array" ref="C8:I8">DaysAndWeeks+DATE(CalendarYear,9,1)-WEEKDAY(DATE(CalendarYear,9,1),(WeekStart="M")+1)+8</f>
        <v>45907</v>
      </c>
      <c r="D8" s="37">
        <v>45908</v>
      </c>
      <c r="E8" s="37">
        <v>45909</v>
      </c>
      <c r="F8" s="37">
        <v>45910</v>
      </c>
      <c r="G8" s="37">
        <v>45911</v>
      </c>
      <c r="H8" s="37">
        <v>45912</v>
      </c>
      <c r="I8" s="76">
        <v>45913</v>
      </c>
    </row>
    <row r="9" spans="2:9" s="59" customFormat="1" ht="75" customHeight="1" x14ac:dyDescent="0.15">
      <c r="B9" s="91"/>
      <c r="C9" s="149">
        <v>0.625</v>
      </c>
      <c r="D9" s="154"/>
      <c r="E9" s="151">
        <v>0.625</v>
      </c>
      <c r="F9" s="151"/>
      <c r="G9" s="151">
        <v>0.625</v>
      </c>
      <c r="H9" s="58"/>
      <c r="I9" s="92"/>
    </row>
    <row r="10" spans="2:9" s="38" customFormat="1" ht="25" customHeight="1" x14ac:dyDescent="0.2">
      <c r="B10" s="86"/>
      <c r="C10" s="40">
        <f t="array" ref="C10:I10">DaysAndWeeks+DATE(CalendarYear,9,1)-WEEKDAY(DATE(CalendarYear,9,1),(WeekStart="M")+1)+15</f>
        <v>45914</v>
      </c>
      <c r="D10" s="37">
        <v>45915</v>
      </c>
      <c r="E10" s="37">
        <v>45916</v>
      </c>
      <c r="F10" s="37">
        <v>45917</v>
      </c>
      <c r="G10" s="37">
        <v>45918</v>
      </c>
      <c r="H10" s="37">
        <v>45919</v>
      </c>
      <c r="I10" s="76">
        <v>45920</v>
      </c>
    </row>
    <row r="11" spans="2:9" s="59" customFormat="1" ht="75" customHeight="1" x14ac:dyDescent="0.15">
      <c r="B11" s="91"/>
      <c r="C11" s="149">
        <v>0.625</v>
      </c>
      <c r="D11" s="154"/>
      <c r="E11" s="151">
        <v>0.625</v>
      </c>
      <c r="F11" s="151"/>
      <c r="G11" s="151">
        <v>0.625</v>
      </c>
      <c r="H11" s="58"/>
      <c r="I11" s="92"/>
    </row>
    <row r="12" spans="2:9" s="38" customFormat="1" ht="25" customHeight="1" x14ac:dyDescent="0.2">
      <c r="B12" s="86"/>
      <c r="C12" s="40">
        <f t="array" ref="C12:I12">DaysAndWeeks+DATE(CalendarYear,9,1)-WEEKDAY(DATE(CalendarYear,9,1),(WeekStart="M")+1)+22</f>
        <v>45921</v>
      </c>
      <c r="D12" s="37">
        <v>45922</v>
      </c>
      <c r="E12" s="37">
        <v>45923</v>
      </c>
      <c r="F12" s="37">
        <v>45924</v>
      </c>
      <c r="G12" s="37">
        <v>45925</v>
      </c>
      <c r="H12" s="37">
        <v>45926</v>
      </c>
      <c r="I12" s="76">
        <v>45927</v>
      </c>
    </row>
    <row r="13" spans="2:9" s="59" customFormat="1" ht="75" customHeight="1" x14ac:dyDescent="0.15">
      <c r="B13" s="91"/>
      <c r="C13" s="149">
        <v>0.625</v>
      </c>
      <c r="D13" s="154"/>
      <c r="E13" s="151">
        <v>0.625</v>
      </c>
      <c r="F13" s="151"/>
      <c r="G13" s="151">
        <v>0.625</v>
      </c>
      <c r="H13" s="58"/>
      <c r="I13" s="92"/>
    </row>
    <row r="14" spans="2:9" s="38" customFormat="1" ht="25" customHeight="1" x14ac:dyDescent="0.2">
      <c r="B14" s="86"/>
      <c r="C14" s="40">
        <f t="array" ref="C14:I14">DaysAndWeeks+DATE(CalendarYear,9,1)-WEEKDAY(DATE(CalendarYear,9,1),(WeekStart="M")+1)+29</f>
        <v>45928</v>
      </c>
      <c r="D14" s="37">
        <v>45929</v>
      </c>
      <c r="E14" s="37">
        <v>45930</v>
      </c>
      <c r="F14" s="37">
        <v>45931</v>
      </c>
      <c r="G14" s="37">
        <v>45932</v>
      </c>
      <c r="H14" s="37">
        <v>45933</v>
      </c>
      <c r="I14" s="78">
        <v>45934</v>
      </c>
    </row>
    <row r="15" spans="2:9" s="59" customFormat="1" ht="75" customHeight="1" x14ac:dyDescent="0.15">
      <c r="B15" s="91"/>
      <c r="C15" s="149">
        <v>0.625</v>
      </c>
      <c r="D15" s="154"/>
      <c r="E15" s="151">
        <v>0.625</v>
      </c>
      <c r="F15" s="151"/>
      <c r="G15" s="151">
        <v>0.625</v>
      </c>
      <c r="H15" s="58"/>
      <c r="I15" s="98"/>
    </row>
    <row r="16" spans="2:9" s="38" customFormat="1" ht="25" customHeight="1" x14ac:dyDescent="0.2">
      <c r="B16" s="86"/>
      <c r="C16" s="46">
        <f t="array" ref="C16:I16">DaysAndWeeks+DATE(CalendarYear,9,1)-WEEKDAY(DATE(CalendarYear,9,1),(WeekStart="M")+1)+36</f>
        <v>45935</v>
      </c>
      <c r="D16" s="39">
        <v>45936</v>
      </c>
      <c r="E16" s="39">
        <v>45937</v>
      </c>
      <c r="F16" s="39">
        <v>45938</v>
      </c>
      <c r="G16" s="39">
        <v>45939</v>
      </c>
      <c r="H16" s="39">
        <v>45940</v>
      </c>
      <c r="I16" s="78">
        <v>45941</v>
      </c>
    </row>
    <row r="17" spans="2:9" s="59" customFormat="1" ht="75" customHeight="1" x14ac:dyDescent="0.15">
      <c r="B17" s="91"/>
      <c r="C17" s="63"/>
      <c r="D17" s="61"/>
      <c r="E17" s="61"/>
      <c r="F17" s="61"/>
      <c r="G17" s="61"/>
      <c r="H17" s="61"/>
      <c r="I17" s="98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12" activePane="bottomLeft" state="frozen"/>
      <selection pane="bottomLeft" activeCell="I4" sqref="I4"/>
    </sheetView>
  </sheetViews>
  <sheetFormatPr baseColWidth="10" defaultColWidth="8.625" defaultRowHeight="17" x14ac:dyDescent="0.15"/>
  <cols>
    <col min="1" max="2" width="2.625" style="36" customWidth="1"/>
    <col min="3" max="9" width="24.375" style="36" customWidth="1"/>
    <col min="10" max="16384" width="8.625" style="36"/>
  </cols>
  <sheetData>
    <row r="1" spans="2:9" ht="15" customHeight="1" thickBot="1" x14ac:dyDescent="0.2">
      <c r="C1" s="122"/>
      <c r="D1" s="122"/>
      <c r="E1" s="122"/>
      <c r="F1" s="122"/>
      <c r="G1" s="122"/>
      <c r="H1" s="122"/>
      <c r="I1" s="122"/>
    </row>
    <row r="2" spans="2:9" ht="75" customHeight="1" thickTop="1" x14ac:dyDescent="0.15">
      <c r="B2" s="84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2">
      <c r="B3" s="84"/>
      <c r="C3" s="110"/>
      <c r="D3" s="111"/>
      <c r="E3" s="111"/>
      <c r="F3" s="112"/>
      <c r="G3" s="21" t="s">
        <v>31</v>
      </c>
      <c r="H3" s="21" t="s">
        <v>32</v>
      </c>
      <c r="I3" s="118"/>
    </row>
    <row r="4" spans="2:9" ht="75" customHeight="1" x14ac:dyDescent="0.65">
      <c r="B4" s="84"/>
      <c r="C4" s="161">
        <f>CalendarYear</f>
        <v>2025</v>
      </c>
      <c r="D4" s="178" t="s">
        <v>33</v>
      </c>
      <c r="E4" s="178"/>
      <c r="F4" s="178"/>
      <c r="G4" s="178"/>
      <c r="H4" s="178"/>
      <c r="I4" s="160"/>
    </row>
    <row r="5" spans="2:9" ht="35" customHeight="1" x14ac:dyDescent="0.15">
      <c r="B5" s="84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ht="25" customHeight="1" x14ac:dyDescent="0.2">
      <c r="B6" s="84"/>
      <c r="C6" s="129">
        <f t="array" ref="C6:I6">DaysAndWeeks+DATE(CalendarYear,10,1)-WEEKDAY(DATE(CalendarYear,10,1),(WeekStart="M")+1)+1</f>
        <v>45928</v>
      </c>
      <c r="D6" s="123">
        <v>45929</v>
      </c>
      <c r="E6" s="123">
        <v>45930</v>
      </c>
      <c r="F6" s="123">
        <v>45931</v>
      </c>
      <c r="G6" s="123">
        <v>45932</v>
      </c>
      <c r="H6" s="123">
        <v>45933</v>
      </c>
      <c r="I6" s="76">
        <v>45934</v>
      </c>
    </row>
    <row r="7" spans="2:9" s="74" customFormat="1" ht="75" customHeight="1" x14ac:dyDescent="0.15">
      <c r="B7" s="85"/>
      <c r="C7" s="156">
        <v>0.625</v>
      </c>
      <c r="D7" s="68"/>
      <c r="E7" s="152">
        <v>0.625</v>
      </c>
      <c r="F7" s="68"/>
      <c r="G7" s="142">
        <v>0.625</v>
      </c>
      <c r="H7" s="68"/>
      <c r="I7" s="77"/>
    </row>
    <row r="8" spans="2:9" ht="25" customHeight="1" x14ac:dyDescent="0.2">
      <c r="B8" s="84"/>
      <c r="C8" s="40">
        <f t="array" ref="C8:I8">DaysAndWeeks+DATE(CalendarYear,10,1)-WEEKDAY(DATE(CalendarYear,10,1),(WeekStart="M")+1)+8</f>
        <v>45935</v>
      </c>
      <c r="D8" s="37">
        <v>45936</v>
      </c>
      <c r="E8" s="37">
        <v>45937</v>
      </c>
      <c r="F8" s="37">
        <v>45938</v>
      </c>
      <c r="G8" s="37">
        <v>45939</v>
      </c>
      <c r="H8" s="37">
        <v>45940</v>
      </c>
      <c r="I8" s="76">
        <v>45941</v>
      </c>
    </row>
    <row r="9" spans="2:9" s="74" customFormat="1" ht="75" customHeight="1" x14ac:dyDescent="0.15">
      <c r="B9" s="85"/>
      <c r="C9" s="156">
        <v>0.625</v>
      </c>
      <c r="D9" s="155"/>
      <c r="E9" s="152">
        <v>0.625</v>
      </c>
      <c r="F9" s="155"/>
      <c r="G9" s="152">
        <v>0.625</v>
      </c>
      <c r="H9" s="68"/>
      <c r="I9" s="77"/>
    </row>
    <row r="10" spans="2:9" ht="25" customHeight="1" x14ac:dyDescent="0.2">
      <c r="B10" s="84"/>
      <c r="C10" s="40">
        <f t="array" ref="C10:I10">DaysAndWeeks+DATE(CalendarYear,10,1)-WEEKDAY(DATE(CalendarYear,10,1),(WeekStart="M")+1)+15</f>
        <v>45942</v>
      </c>
      <c r="D10" s="37">
        <v>45943</v>
      </c>
      <c r="E10" s="37">
        <v>45944</v>
      </c>
      <c r="F10" s="37">
        <v>45945</v>
      </c>
      <c r="G10" s="37">
        <v>45946</v>
      </c>
      <c r="H10" s="37">
        <v>45947</v>
      </c>
      <c r="I10" s="76">
        <v>45948</v>
      </c>
    </row>
    <row r="11" spans="2:9" s="74" customFormat="1" ht="75" customHeight="1" x14ac:dyDescent="0.15">
      <c r="B11" s="85"/>
      <c r="C11" s="156">
        <v>0.625</v>
      </c>
      <c r="D11" s="155"/>
      <c r="E11" s="152">
        <v>0.625</v>
      </c>
      <c r="F11" s="155"/>
      <c r="G11" s="152">
        <v>0.625</v>
      </c>
      <c r="H11" s="68"/>
      <c r="I11" s="77"/>
    </row>
    <row r="12" spans="2:9" ht="25" customHeight="1" x14ac:dyDescent="0.2">
      <c r="B12" s="84"/>
      <c r="C12" s="40">
        <f t="array" ref="C12:I12">DaysAndWeeks+DATE(CalendarYear,10,1)-WEEKDAY(DATE(CalendarYear,10,1),(WeekStart="M")+1)+22</f>
        <v>45949</v>
      </c>
      <c r="D12" s="37">
        <v>45950</v>
      </c>
      <c r="E12" s="37">
        <v>45951</v>
      </c>
      <c r="F12" s="37">
        <v>45952</v>
      </c>
      <c r="G12" s="37">
        <v>45953</v>
      </c>
      <c r="H12" s="37">
        <v>45954</v>
      </c>
      <c r="I12" s="76">
        <v>45955</v>
      </c>
    </row>
    <row r="13" spans="2:9" s="74" customFormat="1" ht="75" customHeight="1" x14ac:dyDescent="0.15">
      <c r="B13" s="85"/>
      <c r="C13" s="156">
        <v>0.625</v>
      </c>
      <c r="D13" s="155"/>
      <c r="E13" s="152">
        <v>0.625</v>
      </c>
      <c r="F13" s="155"/>
      <c r="G13" s="152">
        <v>0.625</v>
      </c>
      <c r="H13" s="68"/>
      <c r="I13" s="77"/>
    </row>
    <row r="14" spans="2:9" ht="25" customHeight="1" x14ac:dyDescent="0.2">
      <c r="B14" s="84"/>
      <c r="C14" s="40">
        <f t="array" ref="C14:I14">DaysAndWeeks+DATE(CalendarYear,10,1)-WEEKDAY(DATE(CalendarYear,10,1),(WeekStart="M")+1)+29</f>
        <v>45956</v>
      </c>
      <c r="D14" s="37">
        <v>45957</v>
      </c>
      <c r="E14" s="37">
        <v>45958</v>
      </c>
      <c r="F14" s="37">
        <v>45959</v>
      </c>
      <c r="G14" s="37">
        <v>45960</v>
      </c>
      <c r="H14" s="37">
        <v>45961</v>
      </c>
      <c r="I14" s="76">
        <v>45962</v>
      </c>
    </row>
    <row r="15" spans="2:9" s="119" customFormat="1" ht="75" customHeight="1" x14ac:dyDescent="0.15">
      <c r="B15" s="120"/>
      <c r="C15" s="156">
        <v>0.625</v>
      </c>
      <c r="D15" s="155"/>
      <c r="E15" s="152">
        <v>0.625</v>
      </c>
      <c r="F15" s="155"/>
      <c r="G15" s="152">
        <v>0.625</v>
      </c>
      <c r="H15" s="72"/>
      <c r="I15" s="121"/>
    </row>
    <row r="16" spans="2:9" ht="25" customHeight="1" x14ac:dyDescent="0.2">
      <c r="B16" s="84"/>
      <c r="C16" s="40">
        <f t="array" ref="C16:I16">DaysAndWeeks+DATE(CalendarYear,10,1)-WEEKDAY(DATE(CalendarYear,10,1),(WeekStart="M")+1)+36</f>
        <v>45963</v>
      </c>
      <c r="D16" s="37">
        <v>45964</v>
      </c>
      <c r="E16" s="39">
        <v>45965</v>
      </c>
      <c r="F16" s="39">
        <v>45966</v>
      </c>
      <c r="G16" s="39">
        <v>45967</v>
      </c>
      <c r="H16" s="39">
        <v>45968</v>
      </c>
      <c r="I16" s="39">
        <v>45969</v>
      </c>
    </row>
    <row r="17" spans="2:9" s="74" customFormat="1" ht="75" customHeight="1" x14ac:dyDescent="0.15">
      <c r="B17" s="85"/>
      <c r="C17" s="156">
        <v>0.625</v>
      </c>
      <c r="D17" s="68"/>
      <c r="E17" s="73"/>
      <c r="F17" s="73"/>
      <c r="G17" s="73"/>
      <c r="H17" s="73"/>
      <c r="I17" s="73"/>
    </row>
    <row r="18" spans="2:9" s="1" customFormat="1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3">
      <c r="B3" s="83"/>
      <c r="C3" s="65"/>
      <c r="D3" s="66"/>
      <c r="E3" s="66"/>
      <c r="F3" s="67"/>
      <c r="G3" s="21" t="s">
        <v>34</v>
      </c>
      <c r="H3" s="21" t="s">
        <v>35</v>
      </c>
      <c r="I3" s="87"/>
    </row>
    <row r="4" spans="2:9" ht="75" customHeight="1" x14ac:dyDescent="0.65">
      <c r="B4" s="83"/>
      <c r="C4" s="161">
        <f>CalendarYear</f>
        <v>2025</v>
      </c>
      <c r="D4" s="179" t="s">
        <v>36</v>
      </c>
      <c r="E4" s="179"/>
      <c r="F4" s="179"/>
      <c r="G4" s="179"/>
      <c r="H4" s="179"/>
      <c r="I4" s="160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4"/>
      <c r="C6" s="46">
        <f t="array" ref="C6:I6">DaysAndWeeks+DATE(CalendarYear,11,1)-WEEKDAY(DATE(CalendarYear,11,1),(WeekStart="M")+1)+1</f>
        <v>45956</v>
      </c>
      <c r="D6" s="39">
        <v>45957</v>
      </c>
      <c r="E6" s="123">
        <v>45958</v>
      </c>
      <c r="F6" s="37">
        <v>45959</v>
      </c>
      <c r="G6" s="37">
        <v>45960</v>
      </c>
      <c r="H6" s="37">
        <v>45961</v>
      </c>
      <c r="I6" s="76">
        <v>45962</v>
      </c>
    </row>
    <row r="7" spans="2:9" s="74" customFormat="1" ht="75" customHeight="1" x14ac:dyDescent="0.15">
      <c r="B7" s="85"/>
      <c r="C7" s="75"/>
      <c r="D7" s="73"/>
      <c r="E7" s="142">
        <v>0.625</v>
      </c>
      <c r="F7" s="155"/>
      <c r="G7" s="152">
        <v>0.625</v>
      </c>
      <c r="H7" s="68"/>
      <c r="I7" s="77"/>
    </row>
    <row r="8" spans="2:9" s="36" customFormat="1" ht="25" customHeight="1" x14ac:dyDescent="0.2">
      <c r="B8" s="84"/>
      <c r="C8" s="40">
        <f t="array" ref="C8:I8">DaysAndWeeks+DATE(CalendarYear,11,1)-WEEKDAY(DATE(CalendarYear,11,1),(WeekStart="M")+1)+8</f>
        <v>45963</v>
      </c>
      <c r="D8" s="37">
        <v>45964</v>
      </c>
      <c r="E8" s="123">
        <v>45965</v>
      </c>
      <c r="F8" s="37">
        <v>45966</v>
      </c>
      <c r="G8" s="37">
        <v>45967</v>
      </c>
      <c r="H8" s="37">
        <v>45968</v>
      </c>
      <c r="I8" s="76">
        <v>45969</v>
      </c>
    </row>
    <row r="9" spans="2:9" s="74" customFormat="1" ht="75" customHeight="1" x14ac:dyDescent="0.15">
      <c r="B9" s="85"/>
      <c r="C9" s="156">
        <v>0.625</v>
      </c>
      <c r="D9" s="155"/>
      <c r="E9" s="152">
        <v>0.625</v>
      </c>
      <c r="F9" s="155"/>
      <c r="G9" s="152">
        <v>0.625</v>
      </c>
      <c r="H9" s="68"/>
      <c r="I9" s="77"/>
    </row>
    <row r="10" spans="2:9" s="36" customFormat="1" ht="25" customHeight="1" x14ac:dyDescent="0.2">
      <c r="B10" s="84"/>
      <c r="C10" s="40">
        <f t="array" ref="C10:I10">DaysAndWeeks+DATE(CalendarYear,11,1)-WEEKDAY(DATE(CalendarYear,11,1),(WeekStart="M")+1)+15</f>
        <v>45970</v>
      </c>
      <c r="D10" s="37">
        <v>45971</v>
      </c>
      <c r="E10" s="123">
        <v>45972</v>
      </c>
      <c r="F10" s="37">
        <v>45973</v>
      </c>
      <c r="G10" s="37">
        <v>45974</v>
      </c>
      <c r="H10" s="37">
        <v>45975</v>
      </c>
      <c r="I10" s="76">
        <v>45976</v>
      </c>
    </row>
    <row r="11" spans="2:9" s="74" customFormat="1" ht="75" customHeight="1" x14ac:dyDescent="0.15">
      <c r="B11" s="85"/>
      <c r="C11" s="156">
        <v>0.625</v>
      </c>
      <c r="D11" s="155"/>
      <c r="E11" s="152">
        <v>0.625</v>
      </c>
      <c r="F11" s="155"/>
      <c r="G11" s="152">
        <v>0.625</v>
      </c>
      <c r="H11" s="68"/>
      <c r="I11" s="77"/>
    </row>
    <row r="12" spans="2:9" s="36" customFormat="1" ht="25" customHeight="1" x14ac:dyDescent="0.2">
      <c r="B12" s="84"/>
      <c r="C12" s="40">
        <f t="array" ref="C12:I12">DaysAndWeeks+DATE(CalendarYear,11,1)-WEEKDAY(DATE(CalendarYear,11,1),(WeekStart="M")+1)+22</f>
        <v>45977</v>
      </c>
      <c r="D12" s="37">
        <v>45978</v>
      </c>
      <c r="E12" s="123">
        <v>45979</v>
      </c>
      <c r="F12" s="37">
        <v>45980</v>
      </c>
      <c r="G12" s="37">
        <v>45981</v>
      </c>
      <c r="H12" s="37">
        <v>45982</v>
      </c>
      <c r="I12" s="76">
        <v>45983</v>
      </c>
    </row>
    <row r="13" spans="2:9" s="74" customFormat="1" ht="75" customHeight="1" x14ac:dyDescent="0.15">
      <c r="B13" s="85"/>
      <c r="C13" s="156">
        <v>0.625</v>
      </c>
      <c r="D13" s="155"/>
      <c r="E13" s="152">
        <v>0.625</v>
      </c>
      <c r="F13" s="155"/>
      <c r="G13" s="152">
        <v>0.625</v>
      </c>
      <c r="H13" s="68"/>
      <c r="I13" s="77"/>
    </row>
    <row r="14" spans="2:9" s="36" customFormat="1" ht="25" customHeight="1" x14ac:dyDescent="0.2">
      <c r="B14" s="84"/>
      <c r="C14" s="40">
        <f t="array" ref="C14:I14">DaysAndWeeks+DATE(CalendarYear,11,1)-WEEKDAY(DATE(CalendarYear,11,1),(WeekStart="M")+1)+29</f>
        <v>45984</v>
      </c>
      <c r="D14" s="37">
        <v>45985</v>
      </c>
      <c r="E14" s="123">
        <v>45986</v>
      </c>
      <c r="F14" s="37">
        <v>45987</v>
      </c>
      <c r="G14" s="39">
        <v>45988</v>
      </c>
      <c r="H14" s="39">
        <v>45989</v>
      </c>
      <c r="I14" s="78">
        <v>45990</v>
      </c>
    </row>
    <row r="15" spans="2:9" s="74" customFormat="1" ht="75" customHeight="1" x14ac:dyDescent="0.15">
      <c r="B15" s="85"/>
      <c r="C15" s="156">
        <v>0.625</v>
      </c>
      <c r="D15" s="155"/>
      <c r="E15" s="152">
        <v>0.625</v>
      </c>
      <c r="F15" s="68"/>
      <c r="G15" s="73"/>
      <c r="H15" s="73"/>
      <c r="I15" s="79"/>
    </row>
    <row r="16" spans="2:9" s="36" customFormat="1" ht="25" customHeight="1" x14ac:dyDescent="0.2">
      <c r="B16" s="84"/>
      <c r="C16" s="71">
        <f t="array" ref="C16:I16">DaysAndWeeks+DATE(CalendarYear,11,1)-WEEKDAY(DATE(CalendarYear,11,1),(WeekStart="M")+1)+36</f>
        <v>45991</v>
      </c>
      <c r="D16" s="39">
        <v>45992</v>
      </c>
      <c r="E16" s="39">
        <v>45993</v>
      </c>
      <c r="F16" s="39">
        <v>45994</v>
      </c>
      <c r="G16" s="39">
        <v>45995</v>
      </c>
      <c r="H16" s="39">
        <v>45996</v>
      </c>
      <c r="I16" s="78">
        <v>45997</v>
      </c>
    </row>
    <row r="17" spans="2:9" s="74" customFormat="1" ht="75" customHeight="1" x14ac:dyDescent="0.15">
      <c r="B17" s="85"/>
      <c r="C17" s="114"/>
      <c r="D17" s="73"/>
      <c r="E17" s="73"/>
      <c r="F17" s="73"/>
      <c r="G17" s="73"/>
      <c r="H17" s="73"/>
      <c r="I17" s="79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8"/>
      <c r="D1" s="88"/>
      <c r="E1" s="88"/>
      <c r="F1" s="88"/>
      <c r="G1" s="88"/>
      <c r="H1" s="88"/>
      <c r="I1" s="88"/>
    </row>
    <row r="2" spans="2:9" ht="75" customHeight="1" thickTop="1" x14ac:dyDescent="0.15">
      <c r="B2" s="83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 x14ac:dyDescent="0.3">
      <c r="B3" s="83"/>
      <c r="C3" s="65"/>
      <c r="D3" s="66"/>
      <c r="E3" s="66"/>
      <c r="F3" s="67"/>
      <c r="G3" s="21" t="s">
        <v>37</v>
      </c>
      <c r="H3" s="21" t="s">
        <v>38</v>
      </c>
      <c r="I3" s="87"/>
    </row>
    <row r="4" spans="2:9" ht="75" customHeight="1" x14ac:dyDescent="0.65">
      <c r="B4" s="83"/>
      <c r="C4" s="161">
        <f>CalendarYear</f>
        <v>2025</v>
      </c>
      <c r="D4" s="179" t="s">
        <v>39</v>
      </c>
      <c r="E4" s="179"/>
      <c r="F4" s="179"/>
      <c r="G4" s="179"/>
      <c r="H4" s="179"/>
      <c r="I4" s="160"/>
    </row>
    <row r="5" spans="2:9" ht="35" customHeight="1" x14ac:dyDescent="0.15">
      <c r="B5" s="83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4"/>
      <c r="C6" s="46">
        <f t="array" ref="C6:I6">DaysAndWeeks+DATE(CalendarYear,12,1)-WEEKDAY(DATE(CalendarYear,12,1),(WeekStart="M")+1)+1</f>
        <v>45991</v>
      </c>
      <c r="D6" s="39">
        <v>45992</v>
      </c>
      <c r="E6" s="39">
        <v>45993</v>
      </c>
      <c r="F6" s="39">
        <v>45994</v>
      </c>
      <c r="G6" s="37">
        <v>45995</v>
      </c>
      <c r="H6" s="37">
        <v>45996</v>
      </c>
      <c r="I6" s="76">
        <v>45997</v>
      </c>
    </row>
    <row r="7" spans="2:9" s="74" customFormat="1" ht="75" customHeight="1" x14ac:dyDescent="0.15">
      <c r="B7" s="85"/>
      <c r="C7" s="75"/>
      <c r="D7" s="73"/>
      <c r="E7" s="73"/>
      <c r="F7" s="73"/>
      <c r="G7" s="142">
        <v>0.625</v>
      </c>
      <c r="H7" s="68"/>
      <c r="I7" s="77"/>
    </row>
    <row r="8" spans="2:9" s="36" customFormat="1" ht="25" customHeight="1" x14ac:dyDescent="0.2">
      <c r="B8" s="84"/>
      <c r="C8" s="40">
        <f t="array" ref="C8:I8">DaysAndWeeks+DATE(CalendarYear,12,1)-WEEKDAY(DATE(CalendarYear,12,1),(WeekStart="M")+1)+8</f>
        <v>45998</v>
      </c>
      <c r="D8" s="37">
        <v>45999</v>
      </c>
      <c r="E8" s="40">
        <v>46000</v>
      </c>
      <c r="F8" s="37">
        <v>46001</v>
      </c>
      <c r="G8" s="37">
        <v>46002</v>
      </c>
      <c r="H8" s="37">
        <v>46003</v>
      </c>
      <c r="I8" s="76">
        <v>46004</v>
      </c>
    </row>
    <row r="9" spans="2:9" s="74" customFormat="1" ht="75" customHeight="1" x14ac:dyDescent="0.15">
      <c r="B9" s="85"/>
      <c r="C9" s="156">
        <v>0.625</v>
      </c>
      <c r="D9" s="155"/>
      <c r="E9" s="152">
        <v>0.625</v>
      </c>
      <c r="F9" s="155"/>
      <c r="G9" s="152">
        <v>0.625</v>
      </c>
      <c r="H9" s="68"/>
      <c r="I9" s="77"/>
    </row>
    <row r="10" spans="2:9" s="36" customFormat="1" ht="25" customHeight="1" x14ac:dyDescent="0.2">
      <c r="B10" s="84"/>
      <c r="C10" s="40">
        <f t="array" ref="C10:I10">DaysAndWeeks+DATE(CalendarYear,12,1)-WEEKDAY(DATE(CalendarYear,12,1),(WeekStart="M")+1)+15</f>
        <v>46005</v>
      </c>
      <c r="D10" s="37">
        <v>46006</v>
      </c>
      <c r="E10" s="37">
        <v>46007</v>
      </c>
      <c r="F10" s="37">
        <v>46008</v>
      </c>
      <c r="G10" s="37">
        <v>46009</v>
      </c>
      <c r="H10" s="37">
        <v>46010</v>
      </c>
      <c r="I10" s="76">
        <v>46011</v>
      </c>
    </row>
    <row r="11" spans="2:9" s="74" customFormat="1" ht="75" customHeight="1" x14ac:dyDescent="0.15">
      <c r="B11" s="85"/>
      <c r="C11" s="156">
        <v>0.625</v>
      </c>
      <c r="D11" s="155"/>
      <c r="E11" s="152">
        <v>0.625</v>
      </c>
      <c r="F11" s="155"/>
      <c r="G11" s="152">
        <v>0.625</v>
      </c>
      <c r="H11" s="68"/>
      <c r="I11" s="77"/>
    </row>
    <row r="12" spans="2:9" s="36" customFormat="1" ht="25" customHeight="1" x14ac:dyDescent="0.2">
      <c r="B12" s="84"/>
      <c r="C12" s="40">
        <f t="array" ref="C12:I12">DaysAndWeeks+DATE(CalendarYear,12,1)-WEEKDAY(DATE(CalendarYear,12,1),(WeekStart="M")+1)+22</f>
        <v>46012</v>
      </c>
      <c r="D12" s="37">
        <v>46013</v>
      </c>
      <c r="E12" s="37">
        <v>46014</v>
      </c>
      <c r="F12" s="37">
        <v>46015</v>
      </c>
      <c r="G12" s="37">
        <v>46016</v>
      </c>
      <c r="H12" s="37">
        <v>46017</v>
      </c>
      <c r="I12" s="76">
        <v>46018</v>
      </c>
    </row>
    <row r="13" spans="2:9" s="74" customFormat="1" ht="75" customHeight="1" x14ac:dyDescent="0.15">
      <c r="B13" s="85"/>
      <c r="C13" s="156">
        <v>0.625</v>
      </c>
      <c r="D13" s="155"/>
      <c r="E13" s="152">
        <v>0.625</v>
      </c>
      <c r="F13" s="155"/>
      <c r="G13" s="152">
        <v>0.625</v>
      </c>
      <c r="H13" s="68"/>
      <c r="I13" s="77"/>
    </row>
    <row r="14" spans="2:9" s="36" customFormat="1" ht="25" customHeight="1" x14ac:dyDescent="0.2">
      <c r="B14" s="84"/>
      <c r="C14" s="40">
        <f t="array" ref="C14:I14">DaysAndWeeks+DATE(CalendarYear,12,1)-WEEKDAY(DATE(CalendarYear,12,1),(WeekStart="M")+1)+29</f>
        <v>46019</v>
      </c>
      <c r="D14" s="37">
        <v>46020</v>
      </c>
      <c r="E14" s="37">
        <v>46021</v>
      </c>
      <c r="F14" s="37">
        <v>46022</v>
      </c>
      <c r="G14" s="37">
        <v>46023</v>
      </c>
      <c r="H14" s="37">
        <v>46024</v>
      </c>
      <c r="I14" s="76">
        <v>46025</v>
      </c>
    </row>
    <row r="15" spans="2:9" s="74" customFormat="1" ht="75" customHeight="1" x14ac:dyDescent="0.15">
      <c r="B15" s="85"/>
      <c r="C15" s="156">
        <v>0.625</v>
      </c>
      <c r="D15" s="155"/>
      <c r="E15" s="152">
        <v>0.625</v>
      </c>
      <c r="F15" s="155"/>
      <c r="G15" s="152">
        <v>0.625</v>
      </c>
      <c r="H15" s="68"/>
      <c r="I15" s="77"/>
    </row>
    <row r="16" spans="2:9" s="36" customFormat="1" ht="25" customHeight="1" x14ac:dyDescent="0.2">
      <c r="B16" s="84"/>
      <c r="C16" s="129">
        <f t="array" ref="C16:I16">DaysAndWeeks+DATE(CalendarYear,12,1)-WEEKDAY(DATE(CalendarYear,12,1),(WeekStart="M")+1)+36</f>
        <v>46026</v>
      </c>
      <c r="D16" s="39">
        <v>46027</v>
      </c>
      <c r="E16" s="71">
        <v>46028</v>
      </c>
      <c r="F16" s="39">
        <v>46029</v>
      </c>
      <c r="G16" s="39">
        <v>46030</v>
      </c>
      <c r="H16" s="71">
        <v>46031</v>
      </c>
      <c r="I16" s="78">
        <v>46032</v>
      </c>
    </row>
    <row r="17" spans="2:9" s="74" customFormat="1" ht="75" customHeight="1" x14ac:dyDescent="0.15">
      <c r="B17" s="85"/>
      <c r="C17" s="156">
        <v>0.625</v>
      </c>
      <c r="D17" s="73"/>
      <c r="E17" s="114"/>
      <c r="F17" s="73"/>
      <c r="G17" s="73"/>
      <c r="H17" s="114"/>
      <c r="I17" s="79"/>
    </row>
    <row r="18" spans="2:9" ht="125" customHeight="1" thickBot="1" x14ac:dyDescent="0.2">
      <c r="B18" s="83"/>
      <c r="C18" s="169" t="s">
        <v>6</v>
      </c>
      <c r="D18" s="170"/>
      <c r="E18" s="170"/>
      <c r="F18" s="170"/>
      <c r="G18" s="170"/>
      <c r="H18" s="170"/>
      <c r="I18" s="17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8" ma:contentTypeDescription="Create a new document." ma:contentTypeScope="" ma:versionID="4adc043bf4637d73a0c9e522ec378a44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7b7e783a2dce4b5386c3443ace9a2c57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4ABB8-A573-4F94-99FB-781FBCFB8062}">
  <ds:schemaRefs>
    <ds:schemaRef ds:uri="http://www.w3.org/XML/1998/namespace"/>
    <ds:schemaRef ds:uri="http://purl.org/dc/dcmitype/"/>
    <ds:schemaRef ds:uri="http://purl.org/dc/terms/"/>
    <ds:schemaRef ds:uri="2f96a5e1-f937-4986-abb4-c031ec480b26"/>
    <ds:schemaRef ds:uri="http://schemas.microsoft.com/office/2006/metadata/properties"/>
    <ds:schemaRef ds:uri="6088389d-f9a4-418b-a8d8-f0ed3f71e6c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B9818AF-CC47-465D-8EDF-2D54FA492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43B48-3CDB-4256-BF5D-20F45EE99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Catherine Mahanna</cp:lastModifiedBy>
  <cp:revision/>
  <dcterms:created xsi:type="dcterms:W3CDTF">2016-11-11T22:25:27Z</dcterms:created>
  <dcterms:modified xsi:type="dcterms:W3CDTF">2025-02-19T20:38:57Z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