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D518AFAF-8B80-7340-98CC-673545F88AFB}" xr6:coauthVersionLast="47" xr6:coauthVersionMax="47" xr10:uidLastSave="{00000000-0000-0000-0000-000000000000}"/>
  <bookViews>
    <workbookView xWindow="0" yWindow="760" windowWidth="31000" windowHeight="2028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6" i="3"/>
  <c r="F5" i="3" s="1"/>
  <c r="C6" i="12"/>
  <c r="F6" i="12"/>
  <c r="F5" i="12" s="1"/>
  <c r="D6" i="7"/>
  <c r="D5" i="7" s="1"/>
  <c r="C6" i="7"/>
  <c r="E6" i="10"/>
  <c r="E5" i="10" s="1"/>
  <c r="G14" i="4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H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D12" i="11"/>
  <c r="F12" i="11" l="1"/>
  <c r="C12" i="11"/>
  <c r="E12" i="11"/>
  <c r="E6" i="11"/>
  <c r="E5" i="11" s="1"/>
  <c r="H6" i="3"/>
  <c r="H5" i="3" s="1"/>
  <c r="H10" i="11"/>
  <c r="C10" i="11"/>
  <c r="D10" i="11"/>
  <c r="H8" i="11"/>
  <c r="E10" i="11"/>
  <c r="G10" i="11"/>
  <c r="H14" i="4"/>
  <c r="D16" i="11"/>
  <c r="E14" i="4"/>
  <c r="E6" i="3"/>
  <c r="E5" i="3" s="1"/>
  <c r="E16" i="11"/>
  <c r="G14" i="3"/>
  <c r="D14" i="3"/>
  <c r="G14" i="7"/>
  <c r="F14" i="3"/>
  <c r="F16" i="11"/>
  <c r="F14" i="11"/>
  <c r="G16" i="11"/>
  <c r="I14" i="3"/>
  <c r="H14" i="7"/>
  <c r="H14" i="3"/>
  <c r="I6" i="12"/>
  <c r="I5" i="12" s="1"/>
  <c r="F14" i="13"/>
  <c r="E14" i="11"/>
  <c r="C14" i="11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<sst xmlns="http://schemas.openxmlformats.org/spreadsheetml/2006/main" count="65" uniqueCount="42">
  <si>
    <t>50/50 2-2-5-5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</si>
  <si>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</si>
  <si>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</si>
  <si>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</si>
  <si>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</si>
  <si>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</si>
  <si>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v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</si>
  <si>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</si>
  <si>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</si>
  <si>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</si>
  <si>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</si>
  <si>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</si>
  <si>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</si>
  <si>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</si>
  <si>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</si>
  <si>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</si>
  <si>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</si>
  <si>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</si>
  <si>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</si>
  <si>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</si>
  <si>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</si>
  <si>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</si>
  <si>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</si>
  <si>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</si>
  <si>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</si>
  <si>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</si>
  <si>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</si>
  <si>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</si>
  <si>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</si>
  <si>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</si>
  <si>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</si>
  <si>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</si>
  <si>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</si>
  <si>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</si>
  <si>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</si>
  <si>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</si>
  <si>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</si>
  <si>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</si>
  <si>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</si>
  <si>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</si>
  <si>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</si>
  <si>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3;00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</si>
</sst>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3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0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3" fillId="3" borderId="13" xfId="4" applyFont="1" applyFill="1" applyBorder="1">
      <alignment horizontal="left" indent="1"/>
    </xf>
    <xf numFmtId="164" fontId="30" fillId="5" borderId="8" xfId="4" applyFont="1" applyFill="1" applyBorder="1">
      <alignment horizontal="left" indent="1"/>
    </xf>
    <xf numFmtId="164" fontId="41" fillId="3" borderId="8" xfId="4" applyFont="1" applyFill="1" applyBorder="1">
      <alignment horizontal="left" indent="1"/>
    </xf>
    <xf numFmtId="164" fontId="27" fillId="5" borderId="25" xfId="4" applyFont="1" applyFill="1" applyBorder="1">
      <alignment horizontal="left" indent="1"/>
    </xf>
    <xf numFmtId="164" fontId="27" fillId="5" borderId="26" xfId="4" applyFont="1" applyFill="1" applyBorder="1">
      <alignment horizontal="left" indent="1"/>
    </xf>
    <xf numFmtId="0" fontId="13" fillId="5" borderId="15" xfId="11" applyFont="1" applyFill="1" applyBorder="1">
      <alignment horizontal="left" vertical="top" wrapText="1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2" fillId="0" borderId="12" xfId="0" applyNumberFormat="1" applyFont="1" applyBorder="1" applyAlignment="1">
      <alignment horizontal="center" vertical="top" wrapText="1"/>
    </xf>
    <xf numFmtId="18" fontId="12" fillId="5" borderId="9" xfId="11" applyNumberFormat="1" applyFont="1" applyFill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8" fontId="33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3" fillId="0" borderId="9" xfId="11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1240465</xdr:colOff>
      <xdr:row>8</xdr:row>
      <xdr:rowOff>189948</xdr:rowOff>
    </xdr:from>
    <xdr:to>
      <xdr:col>9</xdr:col>
      <xdr:colOff>17116</xdr:colOff>
      <xdr:row>8</xdr:row>
      <xdr:rowOff>472558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9214884" y="4605413"/>
          <a:ext cx="8700372" cy="28261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1233967</xdr:colOff>
      <xdr:row>10</xdr:row>
      <xdr:rowOff>193121</xdr:rowOff>
    </xdr:from>
    <xdr:to>
      <xdr:col>7</xdr:col>
      <xdr:colOff>1329070</xdr:colOff>
      <xdr:row>10</xdr:row>
      <xdr:rowOff>546395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9208386" y="5893354"/>
          <a:ext cx="5056963" cy="35327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1314302</xdr:colOff>
      <xdr:row>10</xdr:row>
      <xdr:rowOff>191976</xdr:rowOff>
    </xdr:from>
    <xdr:to>
      <xdr:col>9</xdr:col>
      <xdr:colOff>4417</xdr:colOff>
      <xdr:row>10</xdr:row>
      <xdr:rowOff>546395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B95BF3-F3F6-2D45-9D69-02890F56BDAC}"/>
            </a:ext>
          </a:extLst>
        </xdr:cNvPr>
        <xdr:cNvSpPr txBox="1"/>
      </xdr:nvSpPr>
      <xdr:spPr>
        <a:xfrm>
          <a:off x="14250581" y="5892209"/>
          <a:ext cx="365197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1225697</xdr:colOff>
      <xdr:row>12</xdr:row>
      <xdr:rowOff>164549</xdr:rowOff>
    </xdr:from>
    <xdr:to>
      <xdr:col>8</xdr:col>
      <xdr:colOff>2468217</xdr:colOff>
      <xdr:row>12</xdr:row>
      <xdr:rowOff>502093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9200116" y="7149549"/>
          <a:ext cx="8685310" cy="3375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1107557</xdr:colOff>
      <xdr:row>14</xdr:row>
      <xdr:rowOff>179458</xdr:rowOff>
    </xdr:from>
    <xdr:to>
      <xdr:col>5</xdr:col>
      <xdr:colOff>29533</xdr:colOff>
      <xdr:row>14</xdr:row>
      <xdr:rowOff>502093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4120115" y="8449225"/>
          <a:ext cx="3883837" cy="32263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885</xdr:colOff>
      <xdr:row>8</xdr:row>
      <xdr:rowOff>186267</xdr:rowOff>
    </xdr:from>
    <xdr:to>
      <xdr:col>5</xdr:col>
      <xdr:colOff>1240465</xdr:colOff>
      <xdr:row>8</xdr:row>
      <xdr:rowOff>472558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601732"/>
          <a:ext cx="8682371" cy="28629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3</xdr:col>
      <xdr:colOff>1240465</xdr:colOff>
      <xdr:row>10</xdr:row>
      <xdr:rowOff>516860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7027" y="5878033"/>
          <a:ext cx="3695996" cy="33906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885</xdr:colOff>
      <xdr:row>12</xdr:row>
      <xdr:rowOff>160867</xdr:rowOff>
    </xdr:from>
    <xdr:to>
      <xdr:col>5</xdr:col>
      <xdr:colOff>1225697</xdr:colOff>
      <xdr:row>12</xdr:row>
      <xdr:rowOff>516860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2513" y="7145867"/>
          <a:ext cx="8667603" cy="35599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3</xdr:col>
      <xdr:colOff>1122326</xdr:colOff>
      <xdr:row>14</xdr:row>
      <xdr:rowOff>487326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7027" y="8447567"/>
          <a:ext cx="3577857" cy="30952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1172239</xdr:colOff>
      <xdr:row>6</xdr:row>
      <xdr:rowOff>177210</xdr:rowOff>
    </xdr:from>
    <xdr:to>
      <xdr:col>5</xdr:col>
      <xdr:colOff>1343837</xdr:colOff>
      <xdr:row>6</xdr:row>
      <xdr:rowOff>487326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75E6D1-3FD2-6242-9620-FBF93179FDD8}"/>
            </a:ext>
          </a:extLst>
        </xdr:cNvPr>
        <xdr:cNvSpPr txBox="1"/>
      </xdr:nvSpPr>
      <xdr:spPr>
        <a:xfrm>
          <a:off x="4184797" y="3307908"/>
          <a:ext cx="5133459" cy="31011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14768</xdr:colOff>
      <xdr:row>6</xdr:row>
      <xdr:rowOff>181934</xdr:rowOff>
    </xdr:from>
    <xdr:to>
      <xdr:col>3</xdr:col>
      <xdr:colOff>1166628</xdr:colOff>
      <xdr:row>6</xdr:row>
      <xdr:rowOff>487326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3011B8-4A65-2E49-AC39-C57B7492CCE7}"/>
            </a:ext>
          </a:extLst>
        </xdr:cNvPr>
        <xdr:cNvSpPr txBox="1"/>
      </xdr:nvSpPr>
      <xdr:spPr>
        <a:xfrm>
          <a:off x="546396" y="3312632"/>
          <a:ext cx="3632790" cy="30539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1333796</xdr:colOff>
      <xdr:row>6</xdr:row>
      <xdr:rowOff>181934</xdr:rowOff>
    </xdr:from>
    <xdr:to>
      <xdr:col>7</xdr:col>
      <xdr:colOff>1240466</xdr:colOff>
      <xdr:row>6</xdr:row>
      <xdr:rowOff>487325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07BB069-4E72-9145-9588-B726B377F75E}"/>
            </a:ext>
          </a:extLst>
        </xdr:cNvPr>
        <xdr:cNvSpPr txBox="1"/>
      </xdr:nvSpPr>
      <xdr:spPr>
        <a:xfrm>
          <a:off x="9308215" y="3312632"/>
          <a:ext cx="4868530" cy="3053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1240465</xdr:colOff>
      <xdr:row>6</xdr:row>
      <xdr:rowOff>181936</xdr:rowOff>
    </xdr:from>
    <xdr:to>
      <xdr:col>9</xdr:col>
      <xdr:colOff>14767</xdr:colOff>
      <xdr:row>6</xdr:row>
      <xdr:rowOff>487325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44FD3C-1357-854A-9A92-5F49F8771F7F}"/>
            </a:ext>
          </a:extLst>
        </xdr:cNvPr>
        <xdr:cNvSpPr txBox="1"/>
      </xdr:nvSpPr>
      <xdr:spPr>
        <a:xfrm>
          <a:off x="14176744" y="3312634"/>
          <a:ext cx="3736163" cy="30538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1206501</xdr:colOff>
      <xdr:row>10</xdr:row>
      <xdr:rowOff>181935</xdr:rowOff>
    </xdr:from>
    <xdr:to>
      <xdr:col>5</xdr:col>
      <xdr:colOff>1225698</xdr:colOff>
      <xdr:row>10</xdr:row>
      <xdr:rowOff>531626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B6482B-C259-AD4B-848E-A16D4884D9FA}"/>
            </a:ext>
          </a:extLst>
        </xdr:cNvPr>
        <xdr:cNvSpPr txBox="1"/>
      </xdr:nvSpPr>
      <xdr:spPr>
        <a:xfrm>
          <a:off x="4219059" y="5882168"/>
          <a:ext cx="4981058" cy="34969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43E7B6-E917-8DE9-FE28-83546988FDF1}"/>
            </a:ext>
          </a:extLst>
        </xdr:cNvPr>
        <xdr:cNvSpPr>
          <a:spLocks noChangeAspect="1" noChangeArrowheads="1"/>
        </xdr:cNvSpPr>
      </xdr:nvSpPr>
      <xdr:spPr bwMode="auto">
        <a:xfrm>
          <a:off x="18745200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2156046</xdr:colOff>
      <xdr:row>1</xdr:row>
      <xdr:rowOff>635000</xdr:rowOff>
    </xdr:from>
    <xdr:to>
      <xdr:col>8</xdr:col>
      <xdr:colOff>2127454</xdr:colOff>
      <xdr:row>3</xdr:row>
      <xdr:rowOff>594910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FF8217-9D54-2474-1F24-90E8F5C3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2325" y="826977"/>
          <a:ext cx="2452338" cy="1170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13806</xdr:colOff>
      <xdr:row>8</xdr:row>
      <xdr:rowOff>177799</xdr:rowOff>
    </xdr:from>
    <xdr:to>
      <xdr:col>5</xdr:col>
      <xdr:colOff>1185333</xdr:colOff>
      <xdr:row>8</xdr:row>
      <xdr:rowOff>536222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550028" y="4608688"/>
          <a:ext cx="8622194" cy="3584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1157110</xdr:colOff>
      <xdr:row>10</xdr:row>
      <xdr:rowOff>179101</xdr:rowOff>
    </xdr:from>
    <xdr:to>
      <xdr:col>5</xdr:col>
      <xdr:colOff>1213554</xdr:colOff>
      <xdr:row>10</xdr:row>
      <xdr:rowOff>522110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4176888" y="5894101"/>
          <a:ext cx="5023555" cy="3430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1185332</xdr:colOff>
      <xdr:row>8</xdr:row>
      <xdr:rowOff>177799</xdr:rowOff>
    </xdr:from>
    <xdr:to>
      <xdr:col>8</xdr:col>
      <xdr:colOff>2457172</xdr:colOff>
      <xdr:row>8</xdr:row>
      <xdr:rowOff>536222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9172221" y="4608688"/>
          <a:ext cx="8722507" cy="3584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1227666</xdr:colOff>
      <xdr:row>12</xdr:row>
      <xdr:rowOff>151849</xdr:rowOff>
    </xdr:from>
    <xdr:to>
      <xdr:col>8</xdr:col>
      <xdr:colOff>2471144</xdr:colOff>
      <xdr:row>12</xdr:row>
      <xdr:rowOff>497840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214555" y="7150960"/>
          <a:ext cx="8694145" cy="3459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1227666</xdr:colOff>
      <xdr:row>6</xdr:row>
      <xdr:rowOff>177799</xdr:rowOff>
    </xdr:from>
    <xdr:to>
      <xdr:col>7</xdr:col>
      <xdr:colOff>1227667</xdr:colOff>
      <xdr:row>6</xdr:row>
      <xdr:rowOff>550332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9214555" y="3324577"/>
          <a:ext cx="4967112" cy="3725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1213556</xdr:colOff>
      <xdr:row>6</xdr:row>
      <xdr:rowOff>182879</xdr:rowOff>
    </xdr:from>
    <xdr:to>
      <xdr:col>9</xdr:col>
      <xdr:colOff>8758</xdr:colOff>
      <xdr:row>6</xdr:row>
      <xdr:rowOff>550332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9EE7B51-2B08-514D-B15F-DA2EA2C8BF32}"/>
            </a:ext>
          </a:extLst>
        </xdr:cNvPr>
        <xdr:cNvSpPr txBox="1"/>
      </xdr:nvSpPr>
      <xdr:spPr>
        <a:xfrm>
          <a:off x="14167556" y="3329657"/>
          <a:ext cx="3762313" cy="36745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8141</xdr:colOff>
      <xdr:row>10</xdr:row>
      <xdr:rowOff>179101</xdr:rowOff>
    </xdr:from>
    <xdr:to>
      <xdr:col>3</xdr:col>
      <xdr:colOff>1157111</xdr:colOff>
      <xdr:row>10</xdr:row>
      <xdr:rowOff>508000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A458A0-47F8-E649-B062-8F9D36E6AFA0}"/>
            </a:ext>
          </a:extLst>
        </xdr:cNvPr>
        <xdr:cNvSpPr txBox="1"/>
      </xdr:nvSpPr>
      <xdr:spPr>
        <a:xfrm>
          <a:off x="544363" y="5894101"/>
          <a:ext cx="3632526" cy="3288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1213554</xdr:colOff>
      <xdr:row>10</xdr:row>
      <xdr:rowOff>179101</xdr:rowOff>
    </xdr:from>
    <xdr:to>
      <xdr:col>7</xdr:col>
      <xdr:colOff>1241778</xdr:colOff>
      <xdr:row>10</xdr:row>
      <xdr:rowOff>522110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4687CB9-72C8-0341-911D-31BA6B89BF3B}"/>
            </a:ext>
          </a:extLst>
        </xdr:cNvPr>
        <xdr:cNvSpPr txBox="1"/>
      </xdr:nvSpPr>
      <xdr:spPr>
        <a:xfrm>
          <a:off x="9200443" y="5894101"/>
          <a:ext cx="4995335" cy="34300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1227667</xdr:colOff>
      <xdr:row>10</xdr:row>
      <xdr:rowOff>179101</xdr:rowOff>
    </xdr:from>
    <xdr:to>
      <xdr:col>9</xdr:col>
      <xdr:colOff>9309</xdr:colOff>
      <xdr:row>10</xdr:row>
      <xdr:rowOff>522111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43E45BB-33B2-7543-AEDF-4E136BF5E3D4}"/>
            </a:ext>
          </a:extLst>
        </xdr:cNvPr>
        <xdr:cNvSpPr txBox="1"/>
      </xdr:nvSpPr>
      <xdr:spPr>
        <a:xfrm>
          <a:off x="14181667" y="5894101"/>
          <a:ext cx="3748753" cy="34301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9938</xdr:colOff>
      <xdr:row>12</xdr:row>
      <xdr:rowOff>152952</xdr:rowOff>
    </xdr:from>
    <xdr:to>
      <xdr:col>5</xdr:col>
      <xdr:colOff>1227666</xdr:colOff>
      <xdr:row>12</xdr:row>
      <xdr:rowOff>498061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6EEB05-1D0D-FE4E-91F7-9F4B7EEF7D47}"/>
            </a:ext>
          </a:extLst>
        </xdr:cNvPr>
        <xdr:cNvSpPr txBox="1"/>
      </xdr:nvSpPr>
      <xdr:spPr>
        <a:xfrm>
          <a:off x="546160" y="7152063"/>
          <a:ext cx="8668395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27609</xdr:colOff>
      <xdr:row>14</xdr:row>
      <xdr:rowOff>179457</xdr:rowOff>
    </xdr:from>
    <xdr:to>
      <xdr:col>3</xdr:col>
      <xdr:colOff>1185333</xdr:colOff>
      <xdr:row>14</xdr:row>
      <xdr:rowOff>520701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B38BEE4-1A42-7443-ACD1-B4B3F96A2C9F}"/>
            </a:ext>
          </a:extLst>
        </xdr:cNvPr>
        <xdr:cNvSpPr txBox="1"/>
      </xdr:nvSpPr>
      <xdr:spPr>
        <a:xfrm>
          <a:off x="563831" y="8462679"/>
          <a:ext cx="3641280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1185333</xdr:colOff>
      <xdr:row>14</xdr:row>
      <xdr:rowOff>177800</xdr:rowOff>
    </xdr:from>
    <xdr:to>
      <xdr:col>5</xdr:col>
      <xdr:colOff>28222</xdr:colOff>
      <xdr:row>14</xdr:row>
      <xdr:rowOff>523462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5BB7C74-DE63-044D-970D-CC6AFBA254EC}"/>
            </a:ext>
          </a:extLst>
        </xdr:cNvPr>
        <xdr:cNvSpPr txBox="1"/>
      </xdr:nvSpPr>
      <xdr:spPr>
        <a:xfrm>
          <a:off x="4205111" y="8461022"/>
          <a:ext cx="3810000" cy="34566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14110</xdr:colOff>
      <xdr:row>6</xdr:row>
      <xdr:rowOff>177799</xdr:rowOff>
    </xdr:from>
    <xdr:to>
      <xdr:col>5</xdr:col>
      <xdr:colOff>1214781</xdr:colOff>
      <xdr:row>6</xdr:row>
      <xdr:rowOff>550332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E7BE3-86BE-CA4D-A799-7C7B1DBE2D7C}"/>
            </a:ext>
          </a:extLst>
        </xdr:cNvPr>
        <xdr:cNvSpPr txBox="1"/>
      </xdr:nvSpPr>
      <xdr:spPr>
        <a:xfrm>
          <a:off x="8000999" y="3324577"/>
          <a:ext cx="1200671" cy="3725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2130778</xdr:colOff>
      <xdr:row>1</xdr:row>
      <xdr:rowOff>620888</xdr:rowOff>
    </xdr:from>
    <xdr:to>
      <xdr:col>8</xdr:col>
      <xdr:colOff>2099560</xdr:colOff>
      <xdr:row>3</xdr:row>
      <xdr:rowOff>578173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3C8AF4-B4E6-1F4A-8163-C54F7026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778" y="818444"/>
          <a:ext cx="2452338" cy="1170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5</xdr:col>
      <xdr:colOff>1236133</xdr:colOff>
      <xdr:row>8</xdr:row>
      <xdr:rowOff>558800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67267" y="4559300"/>
          <a:ext cx="8627533" cy="3683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5</xdr:col>
      <xdr:colOff>1202266</xdr:colOff>
      <xdr:row>12</xdr:row>
      <xdr:rowOff>558800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554567" y="7073900"/>
          <a:ext cx="8606366" cy="393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1354667</xdr:colOff>
      <xdr:row>14</xdr:row>
      <xdr:rowOff>177799</xdr:rowOff>
    </xdr:from>
    <xdr:to>
      <xdr:col>5</xdr:col>
      <xdr:colOff>1236133</xdr:colOff>
      <xdr:row>14</xdr:row>
      <xdr:rowOff>558800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4368800" y="8356599"/>
          <a:ext cx="4826000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1354666</xdr:colOff>
      <xdr:row>10</xdr:row>
      <xdr:rowOff>177800</xdr:rowOff>
    </xdr:from>
    <xdr:to>
      <xdr:col>5</xdr:col>
      <xdr:colOff>1219199</xdr:colOff>
      <xdr:row>10</xdr:row>
      <xdr:rowOff>524934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4368799" y="5816600"/>
          <a:ext cx="4809067" cy="3471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1236133</xdr:colOff>
      <xdr:row>8</xdr:row>
      <xdr:rowOff>190500</xdr:rowOff>
    </xdr:from>
    <xdr:to>
      <xdr:col>8</xdr:col>
      <xdr:colOff>2463800</xdr:colOff>
      <xdr:row>8</xdr:row>
      <xdr:rowOff>558800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194800" y="4559300"/>
          <a:ext cx="8644467" cy="3683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1202266</xdr:colOff>
      <xdr:row>12</xdr:row>
      <xdr:rowOff>165099</xdr:rowOff>
    </xdr:from>
    <xdr:to>
      <xdr:col>8</xdr:col>
      <xdr:colOff>2463800</xdr:colOff>
      <xdr:row>12</xdr:row>
      <xdr:rowOff>558800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160933" y="7073899"/>
          <a:ext cx="8678334" cy="3937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14</xdr:row>
      <xdr:rowOff>177799</xdr:rowOff>
    </xdr:from>
    <xdr:to>
      <xdr:col>7</xdr:col>
      <xdr:colOff>965200</xdr:colOff>
      <xdr:row>14</xdr:row>
      <xdr:rowOff>558800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9177867" y="8356599"/>
          <a:ext cx="4690533" cy="3810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6</xdr:row>
      <xdr:rowOff>152400</xdr:rowOff>
    </xdr:from>
    <xdr:to>
      <xdr:col>7</xdr:col>
      <xdr:colOff>1219200</xdr:colOff>
      <xdr:row>6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9177867" y="3251200"/>
          <a:ext cx="4944533" cy="4064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1219199</xdr:colOff>
      <xdr:row>6</xdr:row>
      <xdr:rowOff>152399</xdr:rowOff>
    </xdr:from>
    <xdr:to>
      <xdr:col>9</xdr:col>
      <xdr:colOff>29817</xdr:colOff>
      <xdr:row>6</xdr:row>
      <xdr:rowOff>558800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AE165E-A978-6341-AC2D-7F25F7F8E11B}"/>
            </a:ext>
          </a:extLst>
        </xdr:cNvPr>
        <xdr:cNvSpPr txBox="1"/>
      </xdr:nvSpPr>
      <xdr:spPr>
        <a:xfrm>
          <a:off x="14122399" y="3251199"/>
          <a:ext cx="3755151" cy="4064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1354667</xdr:colOff>
      <xdr:row>10</xdr:row>
      <xdr:rowOff>524933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C20610-BC4E-9444-A813-8E95D57D90A4}"/>
            </a:ext>
          </a:extLst>
        </xdr:cNvPr>
        <xdr:cNvSpPr txBox="1"/>
      </xdr:nvSpPr>
      <xdr:spPr>
        <a:xfrm>
          <a:off x="554567" y="5816600"/>
          <a:ext cx="3814233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1202266</xdr:colOff>
      <xdr:row>10</xdr:row>
      <xdr:rowOff>177800</xdr:rowOff>
    </xdr:from>
    <xdr:to>
      <xdr:col>7</xdr:col>
      <xdr:colOff>1151467</xdr:colOff>
      <xdr:row>10</xdr:row>
      <xdr:rowOff>524933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780998-67F1-F845-A101-929BD1D6A1DA}"/>
            </a:ext>
          </a:extLst>
        </xdr:cNvPr>
        <xdr:cNvSpPr txBox="1"/>
      </xdr:nvSpPr>
      <xdr:spPr>
        <a:xfrm>
          <a:off x="9160933" y="5816600"/>
          <a:ext cx="4893734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1151467</xdr:colOff>
      <xdr:row>10</xdr:row>
      <xdr:rowOff>177800</xdr:rowOff>
    </xdr:from>
    <xdr:to>
      <xdr:col>9</xdr:col>
      <xdr:colOff>4418</xdr:colOff>
      <xdr:row>10</xdr:row>
      <xdr:rowOff>524933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272C5A-E4B2-BC44-AB33-F86A559104AB}"/>
            </a:ext>
          </a:extLst>
        </xdr:cNvPr>
        <xdr:cNvSpPr txBox="1"/>
      </xdr:nvSpPr>
      <xdr:spPr>
        <a:xfrm>
          <a:off x="14054667" y="5816600"/>
          <a:ext cx="3797484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1354667</xdr:colOff>
      <xdr:row>14</xdr:row>
      <xdr:rowOff>558800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656EEA-3F9C-B041-916E-8E765B20EE1B}"/>
            </a:ext>
          </a:extLst>
        </xdr:cNvPr>
        <xdr:cNvSpPr txBox="1"/>
      </xdr:nvSpPr>
      <xdr:spPr>
        <a:xfrm>
          <a:off x="567267" y="8356600"/>
          <a:ext cx="3801533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965199</xdr:colOff>
      <xdr:row>14</xdr:row>
      <xdr:rowOff>177799</xdr:rowOff>
    </xdr:from>
    <xdr:to>
      <xdr:col>8</xdr:col>
      <xdr:colOff>-1</xdr:colOff>
      <xdr:row>14</xdr:row>
      <xdr:rowOff>558800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661A5E-95F4-9B43-839F-B7C583998EC1}"/>
            </a:ext>
          </a:extLst>
        </xdr:cNvPr>
        <xdr:cNvSpPr txBox="1"/>
      </xdr:nvSpPr>
      <xdr:spPr>
        <a:xfrm>
          <a:off x="13868399" y="8356599"/>
          <a:ext cx="1507067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16933</xdr:colOff>
      <xdr:row>6</xdr:row>
      <xdr:rowOff>152400</xdr:rowOff>
    </xdr:from>
    <xdr:to>
      <xdr:col>5</xdr:col>
      <xdr:colOff>1217604</xdr:colOff>
      <xdr:row>6</xdr:row>
      <xdr:rowOff>575733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EE3E0B-9B2B-0149-9A8D-AD5D8240BAFB}"/>
            </a:ext>
          </a:extLst>
        </xdr:cNvPr>
        <xdr:cNvSpPr txBox="1"/>
      </xdr:nvSpPr>
      <xdr:spPr>
        <a:xfrm>
          <a:off x="7975600" y="3251200"/>
          <a:ext cx="1200671" cy="4233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E5703-03DD-0246-AFB6-AA43393A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1299883</xdr:colOff>
      <xdr:row>8</xdr:row>
      <xdr:rowOff>177801</xdr:rowOff>
    </xdr:from>
    <xdr:to>
      <xdr:col>9</xdr:col>
      <xdr:colOff>0</xdr:colOff>
      <xdr:row>8</xdr:row>
      <xdr:rowOff>463176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278471" y="4570507"/>
          <a:ext cx="8621058" cy="28537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1255059</xdr:colOff>
      <xdr:row>12</xdr:row>
      <xdr:rowOff>165101</xdr:rowOff>
    </xdr:from>
    <xdr:to>
      <xdr:col>8</xdr:col>
      <xdr:colOff>2463800</xdr:colOff>
      <xdr:row>12</xdr:row>
      <xdr:rowOff>493059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233647" y="7097807"/>
          <a:ext cx="8649447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1195294</xdr:colOff>
      <xdr:row>14</xdr:row>
      <xdr:rowOff>177799</xdr:rowOff>
    </xdr:from>
    <xdr:to>
      <xdr:col>7</xdr:col>
      <xdr:colOff>1419412</xdr:colOff>
      <xdr:row>14</xdr:row>
      <xdr:rowOff>522940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9173882" y="8380505"/>
          <a:ext cx="5184589" cy="345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5</xdr:col>
      <xdr:colOff>1299883</xdr:colOff>
      <xdr:row>8</xdr:row>
      <xdr:rowOff>463176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63282" y="4570506"/>
          <a:ext cx="8715189" cy="28537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177800</xdr:rowOff>
    </xdr:from>
    <xdr:to>
      <xdr:col>5</xdr:col>
      <xdr:colOff>1270000</xdr:colOff>
      <xdr:row>10</xdr:row>
      <xdr:rowOff>493059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4288118" y="5840506"/>
          <a:ext cx="4960470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165099</xdr:rowOff>
    </xdr:from>
    <xdr:to>
      <xdr:col>5</xdr:col>
      <xdr:colOff>1270000</xdr:colOff>
      <xdr:row>12</xdr:row>
      <xdr:rowOff>493058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50582" y="7097805"/>
          <a:ext cx="869800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1150470</xdr:colOff>
      <xdr:row>14</xdr:row>
      <xdr:rowOff>177800</xdr:rowOff>
    </xdr:from>
    <xdr:to>
      <xdr:col>5</xdr:col>
      <xdr:colOff>1195294</xdr:colOff>
      <xdr:row>14</xdr:row>
      <xdr:rowOff>508000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4168588" y="8380506"/>
          <a:ext cx="500529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</xdr:colOff>
      <xdr:row>6</xdr:row>
      <xdr:rowOff>228600</xdr:rowOff>
    </xdr:from>
    <xdr:to>
      <xdr:col>8</xdr:col>
      <xdr:colOff>2463800</xdr:colOff>
      <xdr:row>6</xdr:row>
      <xdr:rowOff>546100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896F76-E9C6-944B-B76E-37032077EF0F}"/>
            </a:ext>
          </a:extLst>
        </xdr:cNvPr>
        <xdr:cNvSpPr txBox="1"/>
      </xdr:nvSpPr>
      <xdr:spPr>
        <a:xfrm>
          <a:off x="15405100" y="3340100"/>
          <a:ext cx="245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177801</xdr:rowOff>
    </xdr:from>
    <xdr:to>
      <xdr:col>3</xdr:col>
      <xdr:colOff>1284941</xdr:colOff>
      <xdr:row>10</xdr:row>
      <xdr:rowOff>493059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1D553-6827-1647-AC3A-A5746B869D38}"/>
            </a:ext>
          </a:extLst>
        </xdr:cNvPr>
        <xdr:cNvSpPr txBox="1"/>
      </xdr:nvSpPr>
      <xdr:spPr>
        <a:xfrm>
          <a:off x="563282" y="5840507"/>
          <a:ext cx="3739777" cy="3152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1269999</xdr:colOff>
      <xdr:row>10</xdr:row>
      <xdr:rowOff>177800</xdr:rowOff>
    </xdr:from>
    <xdr:to>
      <xdr:col>7</xdr:col>
      <xdr:colOff>1344705</xdr:colOff>
      <xdr:row>10</xdr:row>
      <xdr:rowOff>493059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FEBC169-511B-6242-96D4-90C11DFF55C1}"/>
            </a:ext>
          </a:extLst>
        </xdr:cNvPr>
        <xdr:cNvSpPr txBox="1"/>
      </xdr:nvSpPr>
      <xdr:spPr>
        <a:xfrm>
          <a:off x="9248587" y="5840506"/>
          <a:ext cx="5035177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1344705</xdr:colOff>
      <xdr:row>10</xdr:row>
      <xdr:rowOff>177800</xdr:rowOff>
    </xdr:from>
    <xdr:to>
      <xdr:col>8</xdr:col>
      <xdr:colOff>2455517</xdr:colOff>
      <xdr:row>10</xdr:row>
      <xdr:rowOff>493060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E131F5-CECF-BE4D-A100-29D958C2CF26}"/>
            </a:ext>
          </a:extLst>
        </xdr:cNvPr>
        <xdr:cNvSpPr txBox="1"/>
      </xdr:nvSpPr>
      <xdr:spPr>
        <a:xfrm>
          <a:off x="14283764" y="5840506"/>
          <a:ext cx="3591047" cy="31526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1150470</xdr:colOff>
      <xdr:row>14</xdr:row>
      <xdr:rowOff>493059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071F72-7D3A-924E-8DDE-BE5C4B0F6DC8}"/>
            </a:ext>
          </a:extLst>
        </xdr:cNvPr>
        <xdr:cNvSpPr txBox="1"/>
      </xdr:nvSpPr>
      <xdr:spPr>
        <a:xfrm>
          <a:off x="550582" y="8380506"/>
          <a:ext cx="3618006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1419412</xdr:colOff>
      <xdr:row>14</xdr:row>
      <xdr:rowOff>177800</xdr:rowOff>
    </xdr:from>
    <xdr:to>
      <xdr:col>9</xdr:col>
      <xdr:colOff>4418</xdr:colOff>
      <xdr:row>14</xdr:row>
      <xdr:rowOff>522941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DF9BC66-49F3-714C-A018-38BF60B1C4A8}"/>
            </a:ext>
          </a:extLst>
        </xdr:cNvPr>
        <xdr:cNvSpPr txBox="1"/>
      </xdr:nvSpPr>
      <xdr:spPr>
        <a:xfrm>
          <a:off x="14358471" y="8380506"/>
          <a:ext cx="3545476" cy="3451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3</xdr:col>
      <xdr:colOff>0</xdr:colOff>
      <xdr:row>16</xdr:row>
      <xdr:rowOff>520700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EF31940-3F07-DE45-9878-4E64FEBA675C}"/>
            </a:ext>
          </a:extLst>
        </xdr:cNvPr>
        <xdr:cNvSpPr txBox="1"/>
      </xdr:nvSpPr>
      <xdr:spPr>
        <a:xfrm>
          <a:off x="546100" y="9664700"/>
          <a:ext cx="246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2421340</xdr:colOff>
      <xdr:row>30</xdr:row>
      <xdr:rowOff>81960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350D-1426-4A4F-9739-29405046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8353" y="13820588"/>
          <a:ext cx="2421340" cy="115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2151529</xdr:colOff>
      <xdr:row>1</xdr:row>
      <xdr:rowOff>627530</xdr:rowOff>
    </xdr:from>
    <xdr:to>
      <xdr:col>8</xdr:col>
      <xdr:colOff>2123632</xdr:colOff>
      <xdr:row>3</xdr:row>
      <xdr:rowOff>588134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4FF111-45CE-1E43-B757-C5687CB8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0588" y="821765"/>
          <a:ext cx="2452338" cy="1170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2465295</xdr:colOff>
      <xdr:row>6</xdr:row>
      <xdr:rowOff>165100</xdr:rowOff>
    </xdr:from>
    <xdr:to>
      <xdr:col>5</xdr:col>
      <xdr:colOff>1210236</xdr:colOff>
      <xdr:row>6</xdr:row>
      <xdr:rowOff>537882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3003177" y="3287806"/>
          <a:ext cx="6185647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1240118</xdr:colOff>
      <xdr:row>10</xdr:row>
      <xdr:rowOff>537882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50582" y="5840506"/>
          <a:ext cx="8668124" cy="3600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25648</xdr:colOff>
      <xdr:row>14</xdr:row>
      <xdr:rowOff>177800</xdr:rowOff>
    </xdr:from>
    <xdr:to>
      <xdr:col>5</xdr:col>
      <xdr:colOff>1180353</xdr:colOff>
      <xdr:row>14</xdr:row>
      <xdr:rowOff>463176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63530" y="8380506"/>
          <a:ext cx="8595411" cy="28537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1314823</xdr:colOff>
      <xdr:row>8</xdr:row>
      <xdr:rowOff>165099</xdr:rowOff>
    </xdr:from>
    <xdr:to>
      <xdr:col>5</xdr:col>
      <xdr:colOff>1284941</xdr:colOff>
      <xdr:row>8</xdr:row>
      <xdr:rowOff>522940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4332941" y="4557805"/>
          <a:ext cx="4930588" cy="3578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12</xdr:row>
      <xdr:rowOff>162994</xdr:rowOff>
    </xdr:from>
    <xdr:to>
      <xdr:col>5</xdr:col>
      <xdr:colOff>1299883</xdr:colOff>
      <xdr:row>12</xdr:row>
      <xdr:rowOff>478118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4288118" y="7095700"/>
          <a:ext cx="4990353" cy="3151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1225177</xdr:colOff>
      <xdr:row>6</xdr:row>
      <xdr:rowOff>165099</xdr:rowOff>
    </xdr:from>
    <xdr:to>
      <xdr:col>8</xdr:col>
      <xdr:colOff>2463800</xdr:colOff>
      <xdr:row>6</xdr:row>
      <xdr:rowOff>552822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203765" y="3287805"/>
          <a:ext cx="8679329" cy="3877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1240117</xdr:colOff>
      <xdr:row>10</xdr:row>
      <xdr:rowOff>177800</xdr:rowOff>
    </xdr:from>
    <xdr:to>
      <xdr:col>8</xdr:col>
      <xdr:colOff>2480234</xdr:colOff>
      <xdr:row>10</xdr:row>
      <xdr:rowOff>537881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218705" y="5840506"/>
          <a:ext cx="8680823" cy="36008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1180353</xdr:colOff>
      <xdr:row>14</xdr:row>
      <xdr:rowOff>182881</xdr:rowOff>
    </xdr:from>
    <xdr:to>
      <xdr:col>6</xdr:col>
      <xdr:colOff>15488</xdr:colOff>
      <xdr:row>14</xdr:row>
      <xdr:rowOff>463177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9158941" y="8385587"/>
          <a:ext cx="1315371" cy="28029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1284941</xdr:colOff>
      <xdr:row>12</xdr:row>
      <xdr:rowOff>165099</xdr:rowOff>
    </xdr:from>
    <xdr:to>
      <xdr:col>7</xdr:col>
      <xdr:colOff>1225176</xdr:colOff>
      <xdr:row>12</xdr:row>
      <xdr:rowOff>493058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9263529" y="7097805"/>
          <a:ext cx="4900706" cy="3279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165101</xdr:rowOff>
    </xdr:from>
    <xdr:to>
      <xdr:col>3</xdr:col>
      <xdr:colOff>1329764</xdr:colOff>
      <xdr:row>8</xdr:row>
      <xdr:rowOff>522941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F753D3-A417-F347-92A0-1E32D3ECD719}"/>
            </a:ext>
          </a:extLst>
        </xdr:cNvPr>
        <xdr:cNvSpPr txBox="1"/>
      </xdr:nvSpPr>
      <xdr:spPr>
        <a:xfrm>
          <a:off x="550582" y="4557807"/>
          <a:ext cx="3797300" cy="35784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165100</xdr:rowOff>
    </xdr:from>
    <xdr:to>
      <xdr:col>7</xdr:col>
      <xdr:colOff>1210235</xdr:colOff>
      <xdr:row>8</xdr:row>
      <xdr:rowOff>522941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5CE4E04-7FF1-B947-8B34-953F16915C1C}"/>
            </a:ext>
          </a:extLst>
        </xdr:cNvPr>
        <xdr:cNvSpPr txBox="1"/>
      </xdr:nvSpPr>
      <xdr:spPr>
        <a:xfrm>
          <a:off x="9248588" y="4557806"/>
          <a:ext cx="4900706" cy="3578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1210235</xdr:colOff>
      <xdr:row>8</xdr:row>
      <xdr:rowOff>165100</xdr:rowOff>
    </xdr:from>
    <xdr:to>
      <xdr:col>9</xdr:col>
      <xdr:colOff>29818</xdr:colOff>
      <xdr:row>8</xdr:row>
      <xdr:rowOff>522942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738161-CA81-CF4A-99C4-F6140BA01CDA}"/>
            </a:ext>
          </a:extLst>
        </xdr:cNvPr>
        <xdr:cNvSpPr txBox="1"/>
      </xdr:nvSpPr>
      <xdr:spPr>
        <a:xfrm>
          <a:off x="14149294" y="4557806"/>
          <a:ext cx="3780053" cy="35784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165101</xdr:rowOff>
    </xdr:from>
    <xdr:to>
      <xdr:col>3</xdr:col>
      <xdr:colOff>1270000</xdr:colOff>
      <xdr:row>12</xdr:row>
      <xdr:rowOff>463176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613411-78B5-364F-A1B3-139241F134A9}"/>
            </a:ext>
          </a:extLst>
        </xdr:cNvPr>
        <xdr:cNvSpPr txBox="1"/>
      </xdr:nvSpPr>
      <xdr:spPr>
        <a:xfrm>
          <a:off x="563282" y="7097807"/>
          <a:ext cx="3724836" cy="29807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1210235</xdr:colOff>
      <xdr:row>12</xdr:row>
      <xdr:rowOff>165101</xdr:rowOff>
    </xdr:from>
    <xdr:to>
      <xdr:col>9</xdr:col>
      <xdr:colOff>76902</xdr:colOff>
      <xdr:row>12</xdr:row>
      <xdr:rowOff>493059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3093A67-2DAD-AD49-86AB-2F71B63A52B2}"/>
            </a:ext>
          </a:extLst>
        </xdr:cNvPr>
        <xdr:cNvSpPr txBox="1"/>
      </xdr:nvSpPr>
      <xdr:spPr>
        <a:xfrm>
          <a:off x="14149294" y="7097807"/>
          <a:ext cx="3827137" cy="327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2151530</xdr:colOff>
      <xdr:row>1</xdr:row>
      <xdr:rowOff>627530</xdr:rowOff>
    </xdr:from>
    <xdr:to>
      <xdr:col>8</xdr:col>
      <xdr:colOff>2123633</xdr:colOff>
      <xdr:row>3</xdr:row>
      <xdr:rowOff>588134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EC338-A778-FD46-A437-C5E09E48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9" y="821765"/>
          <a:ext cx="2452338" cy="11708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8468</xdr:colOff>
      <xdr:row>6</xdr:row>
      <xdr:rowOff>203200</xdr:rowOff>
    </xdr:from>
    <xdr:to>
      <xdr:col>9</xdr:col>
      <xdr:colOff>0</xdr:colOff>
      <xdr:row>6</xdr:row>
      <xdr:rowOff>524933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10473268" y="3335867"/>
          <a:ext cx="7433732" cy="3217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10</xdr:row>
      <xdr:rowOff>177800</xdr:rowOff>
    </xdr:from>
    <xdr:to>
      <xdr:col>9</xdr:col>
      <xdr:colOff>4232</xdr:colOff>
      <xdr:row>10</xdr:row>
      <xdr:rowOff>507999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232900" y="5829300"/>
          <a:ext cx="8640232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12</xdr:row>
      <xdr:rowOff>182033</xdr:rowOff>
    </xdr:from>
    <xdr:to>
      <xdr:col>7</xdr:col>
      <xdr:colOff>1143000</xdr:colOff>
      <xdr:row>12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9220200" y="7103533"/>
          <a:ext cx="4838700" cy="31326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1308100</xdr:colOff>
      <xdr:row>8</xdr:row>
      <xdr:rowOff>177800</xdr:rowOff>
    </xdr:from>
    <xdr:to>
      <xdr:col>5</xdr:col>
      <xdr:colOff>1282700</xdr:colOff>
      <xdr:row>8</xdr:row>
      <xdr:rowOff>444500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4318000" y="4559300"/>
          <a:ext cx="4927600" cy="266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10</xdr:row>
      <xdr:rowOff>177800</xdr:rowOff>
    </xdr:from>
    <xdr:to>
      <xdr:col>5</xdr:col>
      <xdr:colOff>1270000</xdr:colOff>
      <xdr:row>10</xdr:row>
      <xdr:rowOff>508000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541866" y="5829300"/>
          <a:ext cx="869103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1358900</xdr:colOff>
      <xdr:row>12</xdr:row>
      <xdr:rowOff>177799</xdr:rowOff>
    </xdr:from>
    <xdr:to>
      <xdr:col>5</xdr:col>
      <xdr:colOff>1257300</xdr:colOff>
      <xdr:row>12</xdr:row>
      <xdr:rowOff>486833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4368800" y="7099299"/>
          <a:ext cx="4851400" cy="3090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7056</xdr:colOff>
      <xdr:row>14</xdr:row>
      <xdr:rowOff>177800</xdr:rowOff>
    </xdr:from>
    <xdr:to>
      <xdr:col>5</xdr:col>
      <xdr:colOff>1244600</xdr:colOff>
      <xdr:row>14</xdr:row>
      <xdr:rowOff>508000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40456" y="8369300"/>
          <a:ext cx="866704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14</xdr:row>
      <xdr:rowOff>177801</xdr:rowOff>
    </xdr:from>
    <xdr:to>
      <xdr:col>7</xdr:col>
      <xdr:colOff>2476499</xdr:colOff>
      <xdr:row>14</xdr:row>
      <xdr:rowOff>508001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194800" y="8369301"/>
          <a:ext cx="6197599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8</xdr:row>
      <xdr:rowOff>177800</xdr:rowOff>
    </xdr:from>
    <xdr:to>
      <xdr:col>3</xdr:col>
      <xdr:colOff>1295400</xdr:colOff>
      <xdr:row>8</xdr:row>
      <xdr:rowOff>444500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B0C3C0D-2666-2444-8A6F-3F8D42DEBDBB}"/>
            </a:ext>
          </a:extLst>
        </xdr:cNvPr>
        <xdr:cNvSpPr txBox="1"/>
      </xdr:nvSpPr>
      <xdr:spPr>
        <a:xfrm>
          <a:off x="541866" y="4559300"/>
          <a:ext cx="3763434" cy="2667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8</xdr:row>
      <xdr:rowOff>177801</xdr:rowOff>
    </xdr:from>
    <xdr:to>
      <xdr:col>7</xdr:col>
      <xdr:colOff>1333500</xdr:colOff>
      <xdr:row>8</xdr:row>
      <xdr:rowOff>457200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F20B083-79F6-244A-AD4C-566F5FA3C0F9}"/>
            </a:ext>
          </a:extLst>
        </xdr:cNvPr>
        <xdr:cNvSpPr txBox="1"/>
      </xdr:nvSpPr>
      <xdr:spPr>
        <a:xfrm>
          <a:off x="9245600" y="4559301"/>
          <a:ext cx="5003800" cy="2793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8</xdr:row>
      <xdr:rowOff>177801</xdr:rowOff>
    </xdr:from>
    <xdr:to>
      <xdr:col>9</xdr:col>
      <xdr:colOff>0</xdr:colOff>
      <xdr:row>8</xdr:row>
      <xdr:rowOff>457201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1552D78-AC6F-6845-AFB2-D769A6DA30C0}"/>
            </a:ext>
          </a:extLst>
        </xdr:cNvPr>
        <xdr:cNvSpPr txBox="1"/>
      </xdr:nvSpPr>
      <xdr:spPr>
        <a:xfrm>
          <a:off x="14236700" y="4559301"/>
          <a:ext cx="3632200" cy="279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16933</xdr:colOff>
      <xdr:row>12</xdr:row>
      <xdr:rowOff>173567</xdr:rowOff>
    </xdr:from>
    <xdr:to>
      <xdr:col>3</xdr:col>
      <xdr:colOff>1346200</xdr:colOff>
      <xdr:row>12</xdr:row>
      <xdr:rowOff>491067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34C6A9D-9841-0543-A86D-93D61975D731}"/>
            </a:ext>
          </a:extLst>
        </xdr:cNvPr>
        <xdr:cNvSpPr txBox="1"/>
      </xdr:nvSpPr>
      <xdr:spPr>
        <a:xfrm>
          <a:off x="550333" y="7095067"/>
          <a:ext cx="380576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12</xdr:row>
      <xdr:rowOff>183444</xdr:rowOff>
    </xdr:from>
    <xdr:to>
      <xdr:col>9</xdr:col>
      <xdr:colOff>0</xdr:colOff>
      <xdr:row>12</xdr:row>
      <xdr:rowOff>495300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FF2CEC-57DC-EA43-8E2A-954F4E3C3471}"/>
            </a:ext>
          </a:extLst>
        </xdr:cNvPr>
        <xdr:cNvSpPr txBox="1"/>
      </xdr:nvSpPr>
      <xdr:spPr>
        <a:xfrm>
          <a:off x="14058900" y="7104944"/>
          <a:ext cx="3810000" cy="31185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C4A97-9E32-4D4A-B479-4091511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1422400</xdr:colOff>
      <xdr:row>12</xdr:row>
      <xdr:rowOff>184593</xdr:rowOff>
    </xdr:from>
    <xdr:to>
      <xdr:col>9</xdr:col>
      <xdr:colOff>1279</xdr:colOff>
      <xdr:row>12</xdr:row>
      <xdr:rowOff>575732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BD7ED9-C828-824E-8987-202247802BC5}"/>
            </a:ext>
          </a:extLst>
        </xdr:cNvPr>
        <xdr:cNvSpPr txBox="1"/>
      </xdr:nvSpPr>
      <xdr:spPr>
        <a:xfrm>
          <a:off x="14325600" y="7093393"/>
          <a:ext cx="3523412" cy="39113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258430</xdr:colOff>
      <xdr:row>10</xdr:row>
      <xdr:rowOff>165100</xdr:rowOff>
    </xdr:from>
    <xdr:to>
      <xdr:col>5</xdr:col>
      <xdr:colOff>1303866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29363" y="5803900"/>
          <a:ext cx="873317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21898</xdr:colOff>
      <xdr:row>14</xdr:row>
      <xdr:rowOff>177800</xdr:rowOff>
    </xdr:from>
    <xdr:to>
      <xdr:col>5</xdr:col>
      <xdr:colOff>1253066</xdr:colOff>
      <xdr:row>14</xdr:row>
      <xdr:rowOff>558800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63765" y="8356600"/>
          <a:ext cx="8647968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12</xdr:row>
      <xdr:rowOff>177209</xdr:rowOff>
    </xdr:from>
    <xdr:to>
      <xdr:col>5</xdr:col>
      <xdr:colOff>1286932</xdr:colOff>
      <xdr:row>12</xdr:row>
      <xdr:rowOff>575733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4284132" y="7086009"/>
          <a:ext cx="4961467" cy="3985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1202267</xdr:colOff>
      <xdr:row>8</xdr:row>
      <xdr:rowOff>191975</xdr:rowOff>
    </xdr:from>
    <xdr:to>
      <xdr:col>5</xdr:col>
      <xdr:colOff>1354666</xdr:colOff>
      <xdr:row>8</xdr:row>
      <xdr:rowOff>524932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4216400" y="4560775"/>
          <a:ext cx="5096933" cy="3329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1303866</xdr:colOff>
      <xdr:row>10</xdr:row>
      <xdr:rowOff>165100</xdr:rowOff>
    </xdr:from>
    <xdr:to>
      <xdr:col>8</xdr:col>
      <xdr:colOff>2466162</xdr:colOff>
      <xdr:row>10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262533" y="5803900"/>
          <a:ext cx="8579096" cy="3429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1354666</xdr:colOff>
      <xdr:row>8</xdr:row>
      <xdr:rowOff>199695</xdr:rowOff>
    </xdr:from>
    <xdr:to>
      <xdr:col>7</xdr:col>
      <xdr:colOff>1303867</xdr:colOff>
      <xdr:row>8</xdr:row>
      <xdr:rowOff>524933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9313333" y="4568495"/>
          <a:ext cx="4893734" cy="32523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1286932</xdr:colOff>
      <xdr:row>12</xdr:row>
      <xdr:rowOff>184591</xdr:rowOff>
    </xdr:from>
    <xdr:to>
      <xdr:col>7</xdr:col>
      <xdr:colOff>1439332</xdr:colOff>
      <xdr:row>12</xdr:row>
      <xdr:rowOff>575732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9245599" y="7093391"/>
          <a:ext cx="5096933" cy="391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1253066</xdr:colOff>
      <xdr:row>14</xdr:row>
      <xdr:rowOff>177799</xdr:rowOff>
    </xdr:from>
    <xdr:to>
      <xdr:col>9</xdr:col>
      <xdr:colOff>4628</xdr:colOff>
      <xdr:row>14</xdr:row>
      <xdr:rowOff>558800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211733" y="8356599"/>
          <a:ext cx="8640628" cy="3810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12</xdr:row>
      <xdr:rowOff>177799</xdr:rowOff>
    </xdr:from>
    <xdr:to>
      <xdr:col>3</xdr:col>
      <xdr:colOff>1270000</xdr:colOff>
      <xdr:row>12</xdr:row>
      <xdr:rowOff>575732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49251" y="7086599"/>
          <a:ext cx="3734882" cy="3979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10671</xdr:colOff>
      <xdr:row>6</xdr:row>
      <xdr:rowOff>289472</xdr:rowOff>
    </xdr:from>
    <xdr:to>
      <xdr:col>8</xdr:col>
      <xdr:colOff>2466162</xdr:colOff>
      <xdr:row>6</xdr:row>
      <xdr:rowOff>613103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17C7B-44C6-EB45-A3AA-4298450AF418}"/>
            </a:ext>
          </a:extLst>
        </xdr:cNvPr>
        <xdr:cNvSpPr txBox="1"/>
      </xdr:nvSpPr>
      <xdr:spPr>
        <a:xfrm>
          <a:off x="15383578" y="3398019"/>
          <a:ext cx="2455491" cy="32363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8</xdr:row>
      <xdr:rowOff>189185</xdr:rowOff>
    </xdr:from>
    <xdr:to>
      <xdr:col>3</xdr:col>
      <xdr:colOff>1202267</xdr:colOff>
      <xdr:row>8</xdr:row>
      <xdr:rowOff>524932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E768B-C011-5A4B-AA44-EFA6ECDAF9F4}"/>
            </a:ext>
          </a:extLst>
        </xdr:cNvPr>
        <xdr:cNvSpPr txBox="1"/>
      </xdr:nvSpPr>
      <xdr:spPr>
        <a:xfrm>
          <a:off x="549251" y="4557985"/>
          <a:ext cx="3667149" cy="3357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1303867</xdr:colOff>
      <xdr:row>8</xdr:row>
      <xdr:rowOff>199359</xdr:rowOff>
    </xdr:from>
    <xdr:to>
      <xdr:col>9</xdr:col>
      <xdr:colOff>1280</xdr:colOff>
      <xdr:row>8</xdr:row>
      <xdr:rowOff>541866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98D16E-B998-984B-809D-FC99BD05E92F}"/>
            </a:ext>
          </a:extLst>
        </xdr:cNvPr>
        <xdr:cNvSpPr txBox="1"/>
      </xdr:nvSpPr>
      <xdr:spPr>
        <a:xfrm>
          <a:off x="14207067" y="4568159"/>
          <a:ext cx="3641946" cy="3425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6980</xdr:colOff>
      <xdr:row>16</xdr:row>
      <xdr:rowOff>212829</xdr:rowOff>
    </xdr:from>
    <xdr:to>
      <xdr:col>3</xdr:col>
      <xdr:colOff>1049867</xdr:colOff>
      <xdr:row>16</xdr:row>
      <xdr:rowOff>575733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32C872-FACE-FD47-B9AD-407559D33479}"/>
            </a:ext>
          </a:extLst>
        </xdr:cNvPr>
        <xdr:cNvSpPr txBox="1"/>
      </xdr:nvSpPr>
      <xdr:spPr>
        <a:xfrm>
          <a:off x="548847" y="9661629"/>
          <a:ext cx="3515153" cy="36290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1049867</xdr:colOff>
      <xdr:row>16</xdr:row>
      <xdr:rowOff>212982</xdr:rowOff>
    </xdr:from>
    <xdr:to>
      <xdr:col>4</xdr:col>
      <xdr:colOff>15777</xdr:colOff>
      <xdr:row>16</xdr:row>
      <xdr:rowOff>558800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00D737F-AE57-1249-B761-83F3ACF526CB}"/>
            </a:ext>
          </a:extLst>
        </xdr:cNvPr>
        <xdr:cNvSpPr txBox="1"/>
      </xdr:nvSpPr>
      <xdr:spPr>
        <a:xfrm>
          <a:off x="4064000" y="9661782"/>
          <a:ext cx="1438177" cy="3458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643466</xdr:rowOff>
    </xdr:from>
    <xdr:to>
      <xdr:col>8</xdr:col>
      <xdr:colOff>2164471</xdr:colOff>
      <xdr:row>3</xdr:row>
      <xdr:rowOff>612040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499E5-1978-AF47-B001-3FEF50C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9733"/>
          <a:ext cx="2452338" cy="1170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1067954</xdr:colOff>
      <xdr:row>10</xdr:row>
      <xdr:rowOff>245533</xdr:rowOff>
    </xdr:from>
    <xdr:to>
      <xdr:col>7</xdr:col>
      <xdr:colOff>1168977</xdr:colOff>
      <xdr:row>10</xdr:row>
      <xdr:rowOff>577272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9034318" y="5902806"/>
          <a:ext cx="5065568" cy="33173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1082385</xdr:colOff>
      <xdr:row>12</xdr:row>
      <xdr:rowOff>191062</xdr:rowOff>
    </xdr:from>
    <xdr:to>
      <xdr:col>9</xdr:col>
      <xdr:colOff>-1</xdr:colOff>
      <xdr:row>12</xdr:row>
      <xdr:rowOff>519545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048749" y="7118335"/>
          <a:ext cx="8846705" cy="32848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1111249</xdr:colOff>
      <xdr:row>8</xdr:row>
      <xdr:rowOff>177799</xdr:rowOff>
    </xdr:from>
    <xdr:to>
      <xdr:col>8</xdr:col>
      <xdr:colOff>2455332</xdr:colOff>
      <xdr:row>8</xdr:row>
      <xdr:rowOff>524932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9077613" y="4565072"/>
          <a:ext cx="8790901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165100</xdr:rowOff>
    </xdr:from>
    <xdr:to>
      <xdr:col>5</xdr:col>
      <xdr:colOff>1154545</xdr:colOff>
      <xdr:row>6</xdr:row>
      <xdr:rowOff>476249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5496791" y="3282373"/>
          <a:ext cx="3624118" cy="31114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11240</xdr:colOff>
      <xdr:row>8</xdr:row>
      <xdr:rowOff>177800</xdr:rowOff>
    </xdr:from>
    <xdr:to>
      <xdr:col>5</xdr:col>
      <xdr:colOff>1111250</xdr:colOff>
      <xdr:row>8</xdr:row>
      <xdr:rowOff>524933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530785" y="4565073"/>
          <a:ext cx="8546829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1327726</xdr:colOff>
      <xdr:row>10</xdr:row>
      <xdr:rowOff>245534</xdr:rowOff>
    </xdr:from>
    <xdr:to>
      <xdr:col>5</xdr:col>
      <xdr:colOff>1082385</xdr:colOff>
      <xdr:row>10</xdr:row>
      <xdr:rowOff>577272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4329544" y="5902807"/>
          <a:ext cx="4719205" cy="33173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11239</xdr:colOff>
      <xdr:row>12</xdr:row>
      <xdr:rowOff>182033</xdr:rowOff>
    </xdr:from>
    <xdr:to>
      <xdr:col>5</xdr:col>
      <xdr:colOff>1096818</xdr:colOff>
      <xdr:row>12</xdr:row>
      <xdr:rowOff>519545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30784" y="7109306"/>
          <a:ext cx="8532398" cy="33751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14</xdr:row>
      <xdr:rowOff>177800</xdr:rowOff>
    </xdr:from>
    <xdr:to>
      <xdr:col>5</xdr:col>
      <xdr:colOff>1111250</xdr:colOff>
      <xdr:row>14</xdr:row>
      <xdr:rowOff>505113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4271818" y="8375073"/>
          <a:ext cx="4805796" cy="3273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1140112</xdr:colOff>
      <xdr:row>6</xdr:row>
      <xdr:rowOff>165100</xdr:rowOff>
    </xdr:from>
    <xdr:to>
      <xdr:col>7</xdr:col>
      <xdr:colOff>1255568</xdr:colOff>
      <xdr:row>6</xdr:row>
      <xdr:rowOff>476250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106476" y="3282373"/>
          <a:ext cx="5080001" cy="31115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1168977</xdr:colOff>
      <xdr:row>10</xdr:row>
      <xdr:rowOff>249766</xdr:rowOff>
    </xdr:from>
    <xdr:to>
      <xdr:col>8</xdr:col>
      <xdr:colOff>2464904</xdr:colOff>
      <xdr:row>10</xdr:row>
      <xdr:rowOff>577271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1F764C-A7BE-544F-99AB-9EFEF8AAC3C9}"/>
            </a:ext>
          </a:extLst>
        </xdr:cNvPr>
        <xdr:cNvSpPr txBox="1"/>
      </xdr:nvSpPr>
      <xdr:spPr>
        <a:xfrm>
          <a:off x="14099886" y="5907039"/>
          <a:ext cx="3778200" cy="3275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245533</xdr:rowOff>
    </xdr:from>
    <xdr:to>
      <xdr:col>3</xdr:col>
      <xdr:colOff>1327727</xdr:colOff>
      <xdr:row>10</xdr:row>
      <xdr:rowOff>562841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44945" y="5902806"/>
          <a:ext cx="3784600" cy="3173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1226705</xdr:colOff>
      <xdr:row>6</xdr:row>
      <xdr:rowOff>156634</xdr:rowOff>
    </xdr:from>
    <xdr:to>
      <xdr:col>9</xdr:col>
      <xdr:colOff>5339</xdr:colOff>
      <xdr:row>6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067156-0F5E-2044-B1D9-D464D0418B94}"/>
            </a:ext>
          </a:extLst>
        </xdr:cNvPr>
        <xdr:cNvSpPr txBox="1"/>
      </xdr:nvSpPr>
      <xdr:spPr>
        <a:xfrm>
          <a:off x="14157614" y="3273907"/>
          <a:ext cx="3743180" cy="31961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177799</xdr:rowOff>
    </xdr:from>
    <xdr:to>
      <xdr:col>3</xdr:col>
      <xdr:colOff>1270000</xdr:colOff>
      <xdr:row>14</xdr:row>
      <xdr:rowOff>505113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3A3024-84D2-5A41-9A6B-D383D2186270}"/>
            </a:ext>
          </a:extLst>
        </xdr:cNvPr>
        <xdr:cNvSpPr txBox="1"/>
      </xdr:nvSpPr>
      <xdr:spPr>
        <a:xfrm>
          <a:off x="544945" y="8375072"/>
          <a:ext cx="3726873" cy="32731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1096817</xdr:colOff>
      <xdr:row>14</xdr:row>
      <xdr:rowOff>182033</xdr:rowOff>
    </xdr:from>
    <xdr:to>
      <xdr:col>6</xdr:col>
      <xdr:colOff>2467840</xdr:colOff>
      <xdr:row>14</xdr:row>
      <xdr:rowOff>490682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9EEB82-7104-CB44-88D7-0BB6131E86B0}"/>
            </a:ext>
          </a:extLst>
        </xdr:cNvPr>
        <xdr:cNvSpPr txBox="1"/>
      </xdr:nvSpPr>
      <xdr:spPr>
        <a:xfrm>
          <a:off x="9063181" y="8379306"/>
          <a:ext cx="3853295" cy="30864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2164773</xdr:colOff>
      <xdr:row>1</xdr:row>
      <xdr:rowOff>635000</xdr:rowOff>
    </xdr:from>
    <xdr:to>
      <xdr:col>8</xdr:col>
      <xdr:colOff>2134838</xdr:colOff>
      <xdr:row>3</xdr:row>
      <xdr:rowOff>593568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4C6B-0F22-8E4F-9BD1-9867940C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682" y="822614"/>
          <a:ext cx="2452338" cy="11708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1181100</xdr:colOff>
      <xdr:row>10</xdr:row>
      <xdr:rowOff>180041</xdr:rowOff>
    </xdr:from>
    <xdr:to>
      <xdr:col>8</xdr:col>
      <xdr:colOff>2454771</xdr:colOff>
      <xdr:row>10</xdr:row>
      <xdr:rowOff>497540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DC160DB-F537-F345-BFA0-92A8E17B38B1}"/>
            </a:ext>
          </a:extLst>
        </xdr:cNvPr>
        <xdr:cNvSpPr txBox="1"/>
      </xdr:nvSpPr>
      <xdr:spPr>
        <a:xfrm>
          <a:off x="14097000" y="5831541"/>
          <a:ext cx="3750171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177800</xdr:rowOff>
    </xdr:from>
    <xdr:to>
      <xdr:col>8</xdr:col>
      <xdr:colOff>2465294</xdr:colOff>
      <xdr:row>8</xdr:row>
      <xdr:rowOff>497840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83700" y="4559300"/>
          <a:ext cx="8573994" cy="32004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10</xdr:row>
      <xdr:rowOff>177801</xdr:rowOff>
    </xdr:from>
    <xdr:to>
      <xdr:col>7</xdr:col>
      <xdr:colOff>1181100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9271000" y="5829301"/>
          <a:ext cx="482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12</xdr:row>
      <xdr:rowOff>165101</xdr:rowOff>
    </xdr:from>
    <xdr:to>
      <xdr:col>9</xdr:col>
      <xdr:colOff>0</xdr:colOff>
      <xdr:row>12</xdr:row>
      <xdr:rowOff>493059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9194800" y="7086601"/>
          <a:ext cx="8674100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1219199</xdr:colOff>
      <xdr:row>14</xdr:row>
      <xdr:rowOff>162859</xdr:rowOff>
    </xdr:from>
    <xdr:to>
      <xdr:col>7</xdr:col>
      <xdr:colOff>1143000</xdr:colOff>
      <xdr:row>14</xdr:row>
      <xdr:rowOff>487262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9182099" y="8354359"/>
          <a:ext cx="4876801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8</xdr:row>
      <xdr:rowOff>177800</xdr:rowOff>
    </xdr:from>
    <xdr:to>
      <xdr:col>5</xdr:col>
      <xdr:colOff>1295400</xdr:colOff>
      <xdr:row>8</xdr:row>
      <xdr:rowOff>493059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563284" y="4559300"/>
          <a:ext cx="8695016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177800</xdr:rowOff>
    </xdr:from>
    <xdr:to>
      <xdr:col>5</xdr:col>
      <xdr:colOff>1308100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42672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12</xdr:row>
      <xdr:rowOff>165099</xdr:rowOff>
    </xdr:from>
    <xdr:to>
      <xdr:col>5</xdr:col>
      <xdr:colOff>1244600</xdr:colOff>
      <xdr:row>12</xdr:row>
      <xdr:rowOff>493058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63284" y="7086599"/>
          <a:ext cx="864421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1282699</xdr:colOff>
      <xdr:row>14</xdr:row>
      <xdr:rowOff>162859</xdr:rowOff>
    </xdr:from>
    <xdr:to>
      <xdr:col>5</xdr:col>
      <xdr:colOff>1231900</xdr:colOff>
      <xdr:row>14</xdr:row>
      <xdr:rowOff>480359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4292599" y="8354359"/>
          <a:ext cx="4902201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6</xdr:row>
      <xdr:rowOff>165100</xdr:rowOff>
    </xdr:from>
    <xdr:to>
      <xdr:col>8</xdr:col>
      <xdr:colOff>2465293</xdr:colOff>
      <xdr:row>6</xdr:row>
      <xdr:rowOff>537882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4147800" y="3276600"/>
          <a:ext cx="3709893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27641</xdr:colOff>
      <xdr:row>10</xdr:row>
      <xdr:rowOff>180041</xdr:rowOff>
    </xdr:from>
    <xdr:to>
      <xdr:col>2</xdr:col>
      <xdr:colOff>1284941</xdr:colOff>
      <xdr:row>10</xdr:row>
      <xdr:rowOff>497540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65523" y="5842747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30628</xdr:colOff>
      <xdr:row>14</xdr:row>
      <xdr:rowOff>168088</xdr:rowOff>
    </xdr:from>
    <xdr:to>
      <xdr:col>3</xdr:col>
      <xdr:colOff>1282699</xdr:colOff>
      <xdr:row>14</xdr:row>
      <xdr:rowOff>485587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DB2883-E317-B848-8F26-738DE27630F7}"/>
            </a:ext>
          </a:extLst>
        </xdr:cNvPr>
        <xdr:cNvSpPr txBox="1"/>
      </xdr:nvSpPr>
      <xdr:spPr>
        <a:xfrm>
          <a:off x="564028" y="8359588"/>
          <a:ext cx="372857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1130300</xdr:colOff>
      <xdr:row>14</xdr:row>
      <xdr:rowOff>168088</xdr:rowOff>
    </xdr:from>
    <xdr:to>
      <xdr:col>9</xdr:col>
      <xdr:colOff>22348</xdr:colOff>
      <xdr:row>14</xdr:row>
      <xdr:rowOff>485587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23A3E7-EE4C-A747-8DCE-9F771187B8D2}"/>
            </a:ext>
          </a:extLst>
        </xdr:cNvPr>
        <xdr:cNvSpPr txBox="1"/>
      </xdr:nvSpPr>
      <xdr:spPr>
        <a:xfrm>
          <a:off x="14046200" y="8359588"/>
          <a:ext cx="384504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32122</xdr:colOff>
      <xdr:row>10</xdr:row>
      <xdr:rowOff>191247</xdr:rowOff>
    </xdr:from>
    <xdr:to>
      <xdr:col>3</xdr:col>
      <xdr:colOff>1244599</xdr:colOff>
      <xdr:row>10</xdr:row>
      <xdr:rowOff>508746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AD2F32-C95A-2A4B-903E-9772686E0CBA}"/>
            </a:ext>
          </a:extLst>
        </xdr:cNvPr>
        <xdr:cNvSpPr txBox="1"/>
      </xdr:nvSpPr>
      <xdr:spPr>
        <a:xfrm>
          <a:off x="565522" y="5842747"/>
          <a:ext cx="368897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2457823</xdr:colOff>
      <xdr:row>6</xdr:row>
      <xdr:rowOff>165101</xdr:rowOff>
    </xdr:from>
    <xdr:to>
      <xdr:col>7</xdr:col>
      <xdr:colOff>1238623</xdr:colOff>
      <xdr:row>6</xdr:row>
      <xdr:rowOff>546101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548E2-FCF9-274D-BFA3-CD93A2C33DB6}"/>
            </a:ext>
          </a:extLst>
        </xdr:cNvPr>
        <xdr:cNvSpPr txBox="1"/>
      </xdr:nvSpPr>
      <xdr:spPr>
        <a:xfrm>
          <a:off x="12897223" y="3276601"/>
          <a:ext cx="1257300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45E66A-521C-0D42-A891-F11EFBFE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1227191</xdr:colOff>
      <xdr:row>6</xdr:row>
      <xdr:rowOff>171236</xdr:rowOff>
    </xdr:from>
    <xdr:to>
      <xdr:col>8</xdr:col>
      <xdr:colOff>2459364</xdr:colOff>
      <xdr:row>6</xdr:row>
      <xdr:rowOff>513708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9218202" y="3282023"/>
          <a:ext cx="8680937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1141573</xdr:colOff>
      <xdr:row>8</xdr:row>
      <xdr:rowOff>177799</xdr:rowOff>
    </xdr:from>
    <xdr:to>
      <xdr:col>7</xdr:col>
      <xdr:colOff>1113034</xdr:colOff>
      <xdr:row>8</xdr:row>
      <xdr:rowOff>527976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132584" y="4558586"/>
          <a:ext cx="4937304" cy="35017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1113034</xdr:colOff>
      <xdr:row>8</xdr:row>
      <xdr:rowOff>177800</xdr:rowOff>
    </xdr:from>
    <xdr:to>
      <xdr:col>9</xdr:col>
      <xdr:colOff>17118</xdr:colOff>
      <xdr:row>8</xdr:row>
      <xdr:rowOff>527978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C38114C-F121-B04C-801A-A61809318DAF}"/>
            </a:ext>
          </a:extLst>
        </xdr:cNvPr>
        <xdr:cNvSpPr txBox="1"/>
      </xdr:nvSpPr>
      <xdr:spPr>
        <a:xfrm>
          <a:off x="14069888" y="4558587"/>
          <a:ext cx="3869927" cy="35017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1127303</xdr:colOff>
      <xdr:row>12</xdr:row>
      <xdr:rowOff>165100</xdr:rowOff>
    </xdr:from>
    <xdr:to>
      <xdr:col>7</xdr:col>
      <xdr:colOff>1170111</xdr:colOff>
      <xdr:row>12</xdr:row>
      <xdr:rowOff>470898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118314" y="7085887"/>
          <a:ext cx="5008651" cy="30579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1070224</xdr:colOff>
      <xdr:row>8</xdr:row>
      <xdr:rowOff>177799</xdr:rowOff>
    </xdr:from>
    <xdr:to>
      <xdr:col>5</xdr:col>
      <xdr:colOff>1141573</xdr:colOff>
      <xdr:row>8</xdr:row>
      <xdr:rowOff>527976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4095393" y="4558586"/>
          <a:ext cx="5037191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1070224</xdr:colOff>
      <xdr:row>12</xdr:row>
      <xdr:rowOff>165100</xdr:rowOff>
    </xdr:from>
    <xdr:to>
      <xdr:col>5</xdr:col>
      <xdr:colOff>1127304</xdr:colOff>
      <xdr:row>12</xdr:row>
      <xdr:rowOff>470898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4095393" y="7085887"/>
          <a:ext cx="5022922" cy="30579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1184382</xdr:colOff>
      <xdr:row>10</xdr:row>
      <xdr:rowOff>182804</xdr:rowOff>
    </xdr:from>
    <xdr:to>
      <xdr:col>9</xdr:col>
      <xdr:colOff>18036</xdr:colOff>
      <xdr:row>10</xdr:row>
      <xdr:rowOff>485168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9175393" y="5833591"/>
          <a:ext cx="8765340" cy="3023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1170111</xdr:colOff>
      <xdr:row>12</xdr:row>
      <xdr:rowOff>165100</xdr:rowOff>
    </xdr:from>
    <xdr:to>
      <xdr:col>9</xdr:col>
      <xdr:colOff>17117</xdr:colOff>
      <xdr:row>12</xdr:row>
      <xdr:rowOff>470898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9563F42-6C25-3049-AB8D-9CEF0C36CA05}"/>
            </a:ext>
          </a:extLst>
        </xdr:cNvPr>
        <xdr:cNvSpPr txBox="1"/>
      </xdr:nvSpPr>
      <xdr:spPr>
        <a:xfrm>
          <a:off x="14126965" y="7085887"/>
          <a:ext cx="3812849" cy="30579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1070224</xdr:colOff>
      <xdr:row>8</xdr:row>
      <xdr:rowOff>513707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67647" y="4558587"/>
          <a:ext cx="3527746" cy="33590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1184382</xdr:colOff>
      <xdr:row>10</xdr:row>
      <xdr:rowOff>485167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54947" y="5828587"/>
          <a:ext cx="8620446" cy="3073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25400</xdr:colOff>
      <xdr:row>12</xdr:row>
      <xdr:rowOff>165101</xdr:rowOff>
    </xdr:from>
    <xdr:to>
      <xdr:col>3</xdr:col>
      <xdr:colOff>1070224</xdr:colOff>
      <xdr:row>12</xdr:row>
      <xdr:rowOff>470899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67647" y="7085888"/>
          <a:ext cx="3527746" cy="30579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5</xdr:col>
      <xdr:colOff>0</xdr:colOff>
      <xdr:row>14</xdr:row>
      <xdr:rowOff>485167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67647" y="8368587"/>
          <a:ext cx="7423364" cy="3073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12698</xdr:colOff>
      <xdr:row>6</xdr:row>
      <xdr:rowOff>165099</xdr:rowOff>
    </xdr:from>
    <xdr:to>
      <xdr:col>5</xdr:col>
      <xdr:colOff>1212921</xdr:colOff>
      <xdr:row>6</xdr:row>
      <xdr:rowOff>513706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54945" y="3275886"/>
          <a:ext cx="8648987" cy="3486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2126181</xdr:colOff>
      <xdr:row>1</xdr:row>
      <xdr:rowOff>642135</xdr:rowOff>
    </xdr:from>
    <xdr:to>
      <xdr:col>8</xdr:col>
      <xdr:colOff>2095598</xdr:colOff>
      <xdr:row>3</xdr:row>
      <xdr:rowOff>600054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6E8479-A966-1B48-AA5B-493CB0E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035" y="827641"/>
          <a:ext cx="2452338" cy="11708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1219199</xdr:colOff>
      <xdr:row>10</xdr:row>
      <xdr:rowOff>177801</xdr:rowOff>
    </xdr:from>
    <xdr:to>
      <xdr:col>8</xdr:col>
      <xdr:colOff>2463030</xdr:colOff>
      <xdr:row>10</xdr:row>
      <xdr:rowOff>506160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182099" y="5829301"/>
          <a:ext cx="8673331" cy="3283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14</xdr:row>
      <xdr:rowOff>193262</xdr:rowOff>
    </xdr:from>
    <xdr:to>
      <xdr:col>6</xdr:col>
      <xdr:colOff>2475578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232900" y="8384762"/>
          <a:ext cx="3682078" cy="31473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174855</xdr:rowOff>
    </xdr:from>
    <xdr:to>
      <xdr:col>7</xdr:col>
      <xdr:colOff>1257300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9232900" y="7096355"/>
          <a:ext cx="4940300" cy="30774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1295399</xdr:colOff>
      <xdr:row>6</xdr:row>
      <xdr:rowOff>222443</xdr:rowOff>
    </xdr:from>
    <xdr:to>
      <xdr:col>8</xdr:col>
      <xdr:colOff>2463030</xdr:colOff>
      <xdr:row>6</xdr:row>
      <xdr:rowOff>538789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258299" y="3333943"/>
          <a:ext cx="8597131" cy="3163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197042</xdr:rowOff>
    </xdr:from>
    <xdr:to>
      <xdr:col>9</xdr:col>
      <xdr:colOff>0</xdr:colOff>
      <xdr:row>8</xdr:row>
      <xdr:rowOff>508000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E95098-EADD-A042-B524-BFA5C01FA510}"/>
            </a:ext>
          </a:extLst>
        </xdr:cNvPr>
        <xdr:cNvSpPr txBox="1"/>
      </xdr:nvSpPr>
      <xdr:spPr>
        <a:xfrm>
          <a:off x="14198600" y="4578542"/>
          <a:ext cx="3670300" cy="310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8</xdr:row>
      <xdr:rowOff>202463</xdr:rowOff>
    </xdr:from>
    <xdr:to>
      <xdr:col>5</xdr:col>
      <xdr:colOff>1219200</xdr:colOff>
      <xdr:row>8</xdr:row>
      <xdr:rowOff>515362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4267200" y="4583963"/>
          <a:ext cx="49149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10</xdr:row>
      <xdr:rowOff>177799</xdr:rowOff>
    </xdr:from>
    <xdr:to>
      <xdr:col>5</xdr:col>
      <xdr:colOff>1206500</xdr:colOff>
      <xdr:row>10</xdr:row>
      <xdr:rowOff>500302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46101" y="5829299"/>
          <a:ext cx="8623299" cy="3225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12</xdr:row>
      <xdr:rowOff>174855</xdr:rowOff>
    </xdr:from>
    <xdr:to>
      <xdr:col>5</xdr:col>
      <xdr:colOff>1282700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4279899" y="7096355"/>
          <a:ext cx="4965701" cy="3077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6542</xdr:colOff>
      <xdr:row>14</xdr:row>
      <xdr:rowOff>197042</xdr:rowOff>
    </xdr:from>
    <xdr:to>
      <xdr:col>5</xdr:col>
      <xdr:colOff>1270000</xdr:colOff>
      <xdr:row>14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539942" y="8388542"/>
          <a:ext cx="8692958" cy="310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8</xdr:row>
      <xdr:rowOff>202465</xdr:rowOff>
    </xdr:from>
    <xdr:to>
      <xdr:col>7</xdr:col>
      <xdr:colOff>1282700</xdr:colOff>
      <xdr:row>8</xdr:row>
      <xdr:rowOff>508000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9169400" y="4583965"/>
          <a:ext cx="5029200" cy="30553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197042</xdr:rowOff>
    </xdr:from>
    <xdr:to>
      <xdr:col>3</xdr:col>
      <xdr:colOff>1257300</xdr:colOff>
      <xdr:row>8</xdr:row>
      <xdr:rowOff>514541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4578542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23894</xdr:colOff>
      <xdr:row>12</xdr:row>
      <xdr:rowOff>174689</xdr:rowOff>
    </xdr:from>
    <xdr:to>
      <xdr:col>3</xdr:col>
      <xdr:colOff>1270000</xdr:colOff>
      <xdr:row>12</xdr:row>
      <xdr:rowOff>469901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BAF01A-9B53-214A-960A-B9A741E86BD5}"/>
            </a:ext>
          </a:extLst>
        </xdr:cNvPr>
        <xdr:cNvSpPr txBox="1"/>
      </xdr:nvSpPr>
      <xdr:spPr>
        <a:xfrm>
          <a:off x="557294" y="7096189"/>
          <a:ext cx="3722606" cy="29521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12</xdr:row>
      <xdr:rowOff>174855</xdr:rowOff>
    </xdr:from>
    <xdr:to>
      <xdr:col>9</xdr:col>
      <xdr:colOff>3028</xdr:colOff>
      <xdr:row>12</xdr:row>
      <xdr:rowOff>469900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28A122-0ABB-2F48-AA84-3CF012442A0F}"/>
            </a:ext>
          </a:extLst>
        </xdr:cNvPr>
        <xdr:cNvSpPr txBox="1"/>
      </xdr:nvSpPr>
      <xdr:spPr>
        <a:xfrm>
          <a:off x="14173200" y="7096355"/>
          <a:ext cx="3698728" cy="2950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2451100</xdr:colOff>
      <xdr:row>6</xdr:row>
      <xdr:rowOff>227863</xdr:rowOff>
    </xdr:from>
    <xdr:to>
      <xdr:col>5</xdr:col>
      <xdr:colOff>1295400</xdr:colOff>
      <xdr:row>6</xdr:row>
      <xdr:rowOff>540762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FAD7D4-4BFD-9740-B3AA-30899BD076B8}"/>
            </a:ext>
          </a:extLst>
        </xdr:cNvPr>
        <xdr:cNvSpPr txBox="1"/>
      </xdr:nvSpPr>
      <xdr:spPr>
        <a:xfrm>
          <a:off x="7937500" y="3339363"/>
          <a:ext cx="13208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349E6-D4C5-4640-BBE0-0061DD12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1164166</xdr:colOff>
      <xdr:row>8</xdr:row>
      <xdr:rowOff>284479</xdr:rowOff>
    </xdr:from>
    <xdr:to>
      <xdr:col>8</xdr:col>
      <xdr:colOff>2436573</xdr:colOff>
      <xdr:row>8</xdr:row>
      <xdr:rowOff>589642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0CF3AA-0DD7-E14A-8EF4-68CF9DF02642}"/>
            </a:ext>
          </a:extLst>
        </xdr:cNvPr>
        <xdr:cNvSpPr txBox="1"/>
      </xdr:nvSpPr>
      <xdr:spPr>
        <a:xfrm>
          <a:off x="14106071" y="4669003"/>
          <a:ext cx="3751931" cy="30516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1224643</xdr:colOff>
      <xdr:row>12</xdr:row>
      <xdr:rowOff>172720</xdr:rowOff>
    </xdr:from>
    <xdr:to>
      <xdr:col>9</xdr:col>
      <xdr:colOff>0</xdr:colOff>
      <xdr:row>12</xdr:row>
      <xdr:rowOff>498928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CD6A6-DE21-504E-8851-806F0A97C355}"/>
            </a:ext>
          </a:extLst>
        </xdr:cNvPr>
        <xdr:cNvSpPr txBox="1"/>
      </xdr:nvSpPr>
      <xdr:spPr>
        <a:xfrm>
          <a:off x="14166548" y="7097244"/>
          <a:ext cx="3734404" cy="32620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2470639</xdr:colOff>
      <xdr:row>6</xdr:row>
      <xdr:rowOff>210038</xdr:rowOff>
    </xdr:from>
    <xdr:to>
      <xdr:col>8</xdr:col>
      <xdr:colOff>2461847</xdr:colOff>
      <xdr:row>6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2943254" y="3336192"/>
          <a:ext cx="4953978" cy="29796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1300237</xdr:colOff>
      <xdr:row>8</xdr:row>
      <xdr:rowOff>284479</xdr:rowOff>
    </xdr:from>
    <xdr:to>
      <xdr:col>7</xdr:col>
      <xdr:colOff>1179284</xdr:colOff>
      <xdr:row>8</xdr:row>
      <xdr:rowOff>589643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9283094" y="4669003"/>
          <a:ext cx="4838095" cy="3051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1179285</xdr:colOff>
      <xdr:row>12</xdr:row>
      <xdr:rowOff>165102</xdr:rowOff>
    </xdr:from>
    <xdr:to>
      <xdr:col>7</xdr:col>
      <xdr:colOff>1224643</xdr:colOff>
      <xdr:row>12</xdr:row>
      <xdr:rowOff>483809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9162142" y="7089626"/>
          <a:ext cx="5004406" cy="31870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1254880</xdr:colOff>
      <xdr:row>10</xdr:row>
      <xdr:rowOff>177800</xdr:rowOff>
    </xdr:from>
    <xdr:to>
      <xdr:col>8</xdr:col>
      <xdr:colOff>2461845</xdr:colOff>
      <xdr:row>10</xdr:row>
      <xdr:rowOff>574524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237737" y="5832324"/>
          <a:ext cx="8645537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1133929</xdr:colOff>
      <xdr:row>14</xdr:row>
      <xdr:rowOff>177800</xdr:rowOff>
    </xdr:from>
    <xdr:to>
      <xdr:col>9</xdr:col>
      <xdr:colOff>1860</xdr:colOff>
      <xdr:row>14</xdr:row>
      <xdr:rowOff>544286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116786" y="8372324"/>
          <a:ext cx="8786026" cy="36648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1239760</xdr:colOff>
      <xdr:row>8</xdr:row>
      <xdr:rowOff>274320</xdr:rowOff>
    </xdr:from>
    <xdr:to>
      <xdr:col>5</xdr:col>
      <xdr:colOff>1315357</xdr:colOff>
      <xdr:row>8</xdr:row>
      <xdr:rowOff>604761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4263570" y="4658844"/>
          <a:ext cx="5034644" cy="3304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177799</xdr:rowOff>
    </xdr:from>
    <xdr:to>
      <xdr:col>5</xdr:col>
      <xdr:colOff>1270000</xdr:colOff>
      <xdr:row>10</xdr:row>
      <xdr:rowOff>589643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44286" y="5832323"/>
          <a:ext cx="8708571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1209523</xdr:colOff>
      <xdr:row>12</xdr:row>
      <xdr:rowOff>165099</xdr:rowOff>
    </xdr:from>
    <xdr:to>
      <xdr:col>5</xdr:col>
      <xdr:colOff>1179286</xdr:colOff>
      <xdr:row>12</xdr:row>
      <xdr:rowOff>498928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4233333" y="7089623"/>
          <a:ext cx="4928810" cy="33382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19538</xdr:colOff>
      <xdr:row>14</xdr:row>
      <xdr:rowOff>177800</xdr:rowOff>
    </xdr:from>
    <xdr:to>
      <xdr:col>5</xdr:col>
      <xdr:colOff>1133929</xdr:colOff>
      <xdr:row>14</xdr:row>
      <xdr:rowOff>544286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63824" y="8372324"/>
          <a:ext cx="8552962" cy="3664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275492</xdr:rowOff>
    </xdr:from>
    <xdr:to>
      <xdr:col>3</xdr:col>
      <xdr:colOff>1254880</xdr:colOff>
      <xdr:row>8</xdr:row>
      <xdr:rowOff>589643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69686" y="4660016"/>
          <a:ext cx="3709004" cy="3141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162559</xdr:rowOff>
    </xdr:from>
    <xdr:to>
      <xdr:col>3</xdr:col>
      <xdr:colOff>1194404</xdr:colOff>
      <xdr:row>12</xdr:row>
      <xdr:rowOff>483808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69686" y="7087083"/>
          <a:ext cx="3648528" cy="32124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20320</xdr:colOff>
      <xdr:row>16</xdr:row>
      <xdr:rowOff>252045</xdr:rowOff>
    </xdr:from>
    <xdr:to>
      <xdr:col>3</xdr:col>
      <xdr:colOff>1239761</xdr:colOff>
      <xdr:row>16</xdr:row>
      <xdr:rowOff>574524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78FC12-02E2-8543-B79F-6250AEBD210E}"/>
            </a:ext>
          </a:extLst>
        </xdr:cNvPr>
        <xdr:cNvSpPr txBox="1"/>
      </xdr:nvSpPr>
      <xdr:spPr>
        <a:xfrm>
          <a:off x="564606" y="9716569"/>
          <a:ext cx="3698965" cy="32247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2163703</xdr:colOff>
      <xdr:row>1</xdr:row>
      <xdr:rowOff>642839</xdr:rowOff>
    </xdr:from>
    <xdr:to>
      <xdr:col>8</xdr:col>
      <xdr:colOff>2138757</xdr:colOff>
      <xdr:row>3</xdr:row>
      <xdr:rowOff>606395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A80437-69D3-3940-8020-AF6CD1E0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209" y="830987"/>
          <a:ext cx="2452338" cy="117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K22"/>
  <sheetViews>
    <sheetView showGridLines="0" tabSelected="1" zoomScale="86" zoomScaleNormal="100" workbookViewId="0">
      <pane ySplit="5" topLeftCell="A6" activePane="bottomLeft" state="frozen"/>
      <selection pane="bottomLeft" activeCell="F17" sqref="F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1" ht="15" customHeight="1" thickBot="1" x14ac:dyDescent="0.2"/>
    <row r="2" spans="2:11" ht="75" customHeight="1" thickTop="1" x14ac:dyDescent="0.15">
      <c r="C2" s="179" t="s">
        <v>0</v>
      </c>
      <c r="D2" s="180"/>
      <c r="E2" s="180"/>
      <c r="F2" s="180"/>
      <c r="G2" s="180"/>
      <c r="H2" s="180"/>
      <c r="I2" s="181"/>
    </row>
    <row r="3" spans="2:11" s="15" customFormat="1" ht="20" customHeight="1" x14ac:dyDescent="0.15">
      <c r="C3" s="16" t="s">
        <v>1</v>
      </c>
      <c r="D3" s="144">
        <v>2025</v>
      </c>
      <c r="E3" s="18" t="s">
        <v>2</v>
      </c>
      <c r="F3" s="17" t="s">
        <v>3</v>
      </c>
      <c r="G3" s="19" t="s">
        <v>4</v>
      </c>
      <c r="H3" s="20"/>
      <c r="I3" s="21"/>
    </row>
    <row r="4" spans="2:11" ht="75" customHeight="1" x14ac:dyDescent="0.65">
      <c r="C4" s="146">
        <f>CalendarYear</f>
        <v>2025</v>
      </c>
      <c r="D4" s="185" t="s">
        <v>5</v>
      </c>
      <c r="E4" s="185"/>
      <c r="F4" s="185"/>
      <c r="G4" s="185"/>
      <c r="H4" s="185"/>
      <c r="I4" s="145"/>
      <c r="K4"/>
    </row>
    <row r="5" spans="2:11" s="2" customFormat="1" ht="35" customHeight="1" x14ac:dyDescent="0.15">
      <c r="B5" s="83"/>
      <c r="C5" s="12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11" s="34" customFormat="1" ht="25" customHeight="1" x14ac:dyDescent="0.2">
      <c r="B6" s="78"/>
      <c r="C6" s="127">
        <f t="array" ref="C6:I6">DaysAndWeeks+DATE(CalendarYear,1,1)-WEEKDAY(DATE(CalendarYear,1,1),(WeekStart="M")+1)+1</f>
        <v>45655</v>
      </c>
      <c r="D6" s="24">
        <v>45656</v>
      </c>
      <c r="E6" s="24">
        <v>45657</v>
      </c>
      <c r="F6" s="24">
        <v>45658</v>
      </c>
      <c r="G6" s="149">
        <v>45659</v>
      </c>
      <c r="H6" s="24">
        <v>45660</v>
      </c>
      <c r="I6" s="25">
        <v>45661</v>
      </c>
    </row>
    <row r="7" spans="2:11" s="6" customFormat="1" ht="75" customHeight="1" x14ac:dyDescent="0.15">
      <c r="B7" s="76"/>
      <c r="C7" s="123"/>
      <c r="D7" s="123">
        <v>0.625</v>
      </c>
      <c r="E7" s="124"/>
      <c r="F7" s="124">
        <v>0.625</v>
      </c>
      <c r="G7" s="150"/>
      <c r="H7" s="171">
        <v>0.625</v>
      </c>
      <c r="I7" s="7"/>
    </row>
    <row r="8" spans="2:11" s="34" customFormat="1" ht="25" customHeight="1" x14ac:dyDescent="0.2">
      <c r="B8" s="78"/>
      <c r="C8" s="22">
        <f t="array" ref="C8:I8">DaysAndWeeks+DATE(CalendarYear,1,1)-WEEKDAY(DATE(CalendarYear,1,1),(WeekStart="M")+1)+8</f>
        <v>45662</v>
      </c>
      <c r="D8" s="148">
        <v>45663</v>
      </c>
      <c r="E8" s="148">
        <v>45664</v>
      </c>
      <c r="F8" s="148">
        <v>45665</v>
      </c>
      <c r="G8" s="148">
        <v>45666</v>
      </c>
      <c r="H8" s="114">
        <v>45667</v>
      </c>
      <c r="I8" s="25">
        <v>45668</v>
      </c>
    </row>
    <row r="9" spans="2:11" s="6" customFormat="1" ht="75" customHeight="1" x14ac:dyDescent="0.15">
      <c r="B9" s="76"/>
      <c r="C9" s="123"/>
      <c r="D9" s="10"/>
      <c r="E9" s="124"/>
      <c r="F9" s="124">
        <v>0.625</v>
      </c>
      <c r="G9" s="126"/>
      <c r="H9" s="8"/>
      <c r="I9" s="9"/>
      <c r="J9" s="6" t="s">
        <v>6</v>
      </c>
    </row>
    <row r="10" spans="2:11" s="34" customFormat="1" ht="25" customHeight="1" x14ac:dyDescent="0.2">
      <c r="B10" s="78"/>
      <c r="C10" s="22">
        <f t="array" ref="C10:I10">DaysAndWeeks+DATE(CalendarYear,1,1)-WEEKDAY(DATE(CalendarYear,1,1),(WeekStart="M")+1)+15</f>
        <v>45669</v>
      </c>
      <c r="D10" s="23">
        <v>45670</v>
      </c>
      <c r="E10" s="23">
        <v>45671</v>
      </c>
      <c r="F10" s="23">
        <v>45672</v>
      </c>
      <c r="G10" s="26">
        <v>45673</v>
      </c>
      <c r="H10" s="27">
        <v>45674</v>
      </c>
      <c r="I10" s="25">
        <v>45675</v>
      </c>
    </row>
    <row r="11" spans="2:11" s="6" customFormat="1" ht="75" customHeight="1" x14ac:dyDescent="0.15">
      <c r="B11" s="76"/>
      <c r="C11" s="123"/>
      <c r="D11" s="123">
        <v>0.625</v>
      </c>
      <c r="E11" s="124"/>
      <c r="F11" s="10"/>
      <c r="G11" s="125"/>
      <c r="H11" s="171">
        <v>0.625</v>
      </c>
      <c r="I11" s="7"/>
    </row>
    <row r="12" spans="2:11" s="34" customFormat="1" ht="25" customHeight="1" x14ac:dyDescent="0.2">
      <c r="B12" s="78"/>
      <c r="C12" s="22">
        <f t="array" ref="C12:I12">DaysAndWeeks+DATE(CalendarYear,1,1)-WEEKDAY(DATE(CalendarYear,1,1),(WeekStart="M")+1)+22</f>
        <v>45676</v>
      </c>
      <c r="D12" s="23">
        <v>45677</v>
      </c>
      <c r="E12" s="23">
        <v>45678</v>
      </c>
      <c r="F12" s="23">
        <v>45679</v>
      </c>
      <c r="G12" s="23">
        <v>45680</v>
      </c>
      <c r="H12" s="24">
        <v>45681</v>
      </c>
      <c r="I12" s="25">
        <v>45682</v>
      </c>
    </row>
    <row r="13" spans="2:11" s="6" customFormat="1" ht="75" customHeight="1" x14ac:dyDescent="0.15">
      <c r="B13" s="76"/>
      <c r="C13" s="123"/>
      <c r="D13" s="10"/>
      <c r="F13" s="124">
        <v>0.625</v>
      </c>
      <c r="G13" s="126"/>
      <c r="H13" s="8"/>
      <c r="I13" s="9"/>
    </row>
    <row r="14" spans="2:11" s="34" customFormat="1" ht="25" customHeight="1" x14ac:dyDescent="0.2">
      <c r="B14" s="78"/>
      <c r="C14" s="22">
        <f t="array" ref="C14:I14">DaysAndWeeks+DATE(CalendarYear,1,1)-WEEKDAY(DATE(CalendarYear,1,1),(WeekStart="M")+1)+29</f>
        <v>45683</v>
      </c>
      <c r="D14" s="23">
        <v>45684</v>
      </c>
      <c r="E14" s="23">
        <v>45685</v>
      </c>
      <c r="F14" s="28">
        <v>45686</v>
      </c>
      <c r="G14" s="28">
        <v>45687</v>
      </c>
      <c r="H14" s="28">
        <v>45688</v>
      </c>
      <c r="I14" s="29">
        <v>45689</v>
      </c>
    </row>
    <row r="15" spans="2:11" s="6" customFormat="1" ht="75" customHeight="1" x14ac:dyDescent="0.15">
      <c r="B15" s="76"/>
      <c r="C15" s="123"/>
      <c r="D15" s="172">
        <v>0.625</v>
      </c>
      <c r="E15" s="124"/>
      <c r="F15" s="3"/>
      <c r="G15" s="152"/>
      <c r="H15" s="153"/>
      <c r="I15" s="154"/>
    </row>
    <row r="16" spans="2:11" s="34" customFormat="1" ht="25" customHeight="1" x14ac:dyDescent="0.2">
      <c r="B16" s="78"/>
      <c r="C16" s="156">
        <f t="array" ref="C16:I16">DaysAndWeeks+DATE(CalendarYear,1,1)-WEEKDAY(DATE(CalendarYear,1,1),(WeekStart="M")+1)+36</f>
        <v>45690</v>
      </c>
      <c r="D16" s="28">
        <v>45691</v>
      </c>
      <c r="E16" s="28">
        <v>45692</v>
      </c>
      <c r="F16" s="28">
        <v>45693</v>
      </c>
      <c r="G16" s="28">
        <v>45694</v>
      </c>
      <c r="H16" s="28">
        <v>45695</v>
      </c>
      <c r="I16" s="29">
        <v>45696</v>
      </c>
    </row>
    <row r="17" spans="2:9" s="6" customFormat="1" ht="75" customHeight="1" x14ac:dyDescent="0.2">
      <c r="B17" s="76"/>
      <c r="C17" s="155"/>
      <c r="D17" s="4"/>
      <c r="E17" s="151"/>
      <c r="F17" s="4"/>
      <c r="G17" s="4"/>
      <c r="H17" s="4"/>
      <c r="I17" s="5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 F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K11" sqref="K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9" t="s">
        <v>0</v>
      </c>
      <c r="D2" s="180"/>
      <c r="E2" s="180"/>
      <c r="F2" s="180"/>
      <c r="G2" s="180"/>
      <c r="H2" s="180"/>
      <c r="I2" s="181"/>
    </row>
    <row r="3" spans="2:9" ht="20" customHeight="1" x14ac:dyDescent="0.15">
      <c r="B3" s="77"/>
      <c r="C3" s="50"/>
      <c r="D3" s="31"/>
      <c r="E3" s="31"/>
      <c r="F3" s="31"/>
      <c r="G3" s="50" t="s">
        <v>8</v>
      </c>
      <c r="H3" s="50" t="s">
        <v>9</v>
      </c>
      <c r="I3" s="90"/>
    </row>
    <row r="4" spans="2:9" ht="75" customHeight="1" x14ac:dyDescent="0.65">
      <c r="B4" s="77"/>
      <c r="C4" s="146">
        <f>CalendarYear</f>
        <v>2025</v>
      </c>
      <c r="D4" s="186" t="s">
        <v>10</v>
      </c>
      <c r="E4" s="186"/>
      <c r="F4" s="186"/>
      <c r="G4" s="186"/>
      <c r="H4" s="186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52">
        <f t="array" ref="C6:I6">DaysAndWeeks+DATE(CalendarYear,2,1)-WEEKDAY(DATE(CalendarYear,2,1),(WeekStart="M")+1)+1</f>
        <v>45683</v>
      </c>
      <c r="D6" s="42">
        <v>45684</v>
      </c>
      <c r="E6" s="37">
        <v>45685</v>
      </c>
      <c r="F6" s="114">
        <v>45686</v>
      </c>
      <c r="G6" s="114">
        <v>45687</v>
      </c>
      <c r="H6" s="114">
        <v>45688</v>
      </c>
      <c r="I6" s="115">
        <v>45689</v>
      </c>
    </row>
    <row r="7" spans="2:9" s="6" customFormat="1" ht="75" customHeight="1" x14ac:dyDescent="0.15">
      <c r="B7" s="76"/>
      <c r="C7" s="51"/>
      <c r="D7" s="33"/>
      <c r="E7" s="151"/>
      <c r="F7" s="129">
        <v>0.625</v>
      </c>
      <c r="G7" s="129"/>
      <c r="H7" s="173">
        <v>0.625</v>
      </c>
      <c r="I7" s="116"/>
    </row>
    <row r="8" spans="2:9" s="36" customFormat="1" ht="25" customHeight="1" x14ac:dyDescent="0.2">
      <c r="B8" s="80"/>
      <c r="C8" s="119">
        <f t="array" ref="C8:I8">DaysAndWeeks+DATE(CalendarYear,2,1)-WEEKDAY(DATE(CalendarYear,2,1),(WeekStart="M")+1)+8</f>
        <v>45690</v>
      </c>
      <c r="D8" s="114">
        <v>45691</v>
      </c>
      <c r="E8" s="117">
        <v>45692</v>
      </c>
      <c r="F8" s="117">
        <v>45693</v>
      </c>
      <c r="G8" s="117">
        <v>45694</v>
      </c>
      <c r="H8" s="117">
        <v>45695</v>
      </c>
      <c r="I8" s="115">
        <v>45696</v>
      </c>
    </row>
    <row r="9" spans="2:9" s="55" customFormat="1" ht="75" customHeight="1" x14ac:dyDescent="0.15">
      <c r="B9" s="85"/>
      <c r="C9" s="130"/>
      <c r="D9" s="54"/>
      <c r="F9" s="131">
        <v>0.625</v>
      </c>
      <c r="G9" s="131"/>
      <c r="H9" s="118"/>
      <c r="I9" s="86"/>
    </row>
    <row r="10" spans="2:9" s="36" customFormat="1" ht="25" customHeight="1" x14ac:dyDescent="0.2">
      <c r="B10" s="80"/>
      <c r="C10" s="119">
        <f t="array" ref="C10:I10">DaysAndWeeks+DATE(CalendarYear,2,1)-WEEKDAY(DATE(CalendarYear,2,1),(WeekStart="M")+1)+15</f>
        <v>45697</v>
      </c>
      <c r="D10" s="114">
        <v>45698</v>
      </c>
      <c r="E10" s="114">
        <v>45699</v>
      </c>
      <c r="F10" s="114">
        <v>45700</v>
      </c>
      <c r="G10" s="114">
        <v>45701</v>
      </c>
      <c r="H10" s="114">
        <v>45702</v>
      </c>
      <c r="I10" s="115">
        <v>45703</v>
      </c>
    </row>
    <row r="11" spans="2:9" s="55" customFormat="1" ht="75" customHeight="1" x14ac:dyDescent="0.15">
      <c r="B11" s="85"/>
      <c r="C11" s="132"/>
      <c r="D11" s="132">
        <v>0.625</v>
      </c>
      <c r="E11" s="132"/>
      <c r="F11" s="132">
        <v>0.625</v>
      </c>
      <c r="G11" s="132"/>
      <c r="H11" s="139" t="s">
        <v>41</v>
      </c>
      <c r="I11" s="86"/>
    </row>
    <row r="12" spans="2:9" s="34" customFormat="1" ht="25" customHeight="1" x14ac:dyDescent="0.2">
      <c r="B12" s="78"/>
      <c r="C12" s="119">
        <f t="array" ref="C12:I12">DaysAndWeeks+DATE(CalendarYear,2,1)-WEEKDAY(DATE(CalendarYear,2,1),(WeekStart="M")+1)+22</f>
        <v>45704</v>
      </c>
      <c r="D12" s="114">
        <v>45705</v>
      </c>
      <c r="E12" s="114">
        <v>45706</v>
      </c>
      <c r="F12" s="114">
        <v>45707</v>
      </c>
      <c r="G12" s="114">
        <v>45708</v>
      </c>
      <c r="H12" s="114">
        <v>45709</v>
      </c>
      <c r="I12" s="115">
        <v>45710</v>
      </c>
    </row>
    <row r="13" spans="2:9" s="55" customFormat="1" ht="75" customHeight="1" x14ac:dyDescent="0.15">
      <c r="B13" s="85"/>
      <c r="C13" s="130"/>
      <c r="D13" s="54"/>
      <c r="E13" s="132"/>
      <c r="F13" s="174">
        <v>0.625</v>
      </c>
      <c r="G13" s="132"/>
      <c r="H13" s="54"/>
      <c r="I13" s="86"/>
    </row>
    <row r="14" spans="2:9" s="34" customFormat="1" ht="25" customHeight="1" x14ac:dyDescent="0.2">
      <c r="B14" s="78"/>
      <c r="C14" s="119">
        <f t="array" ref="C14:I14">DaysAndWeeks+DATE(CalendarYear,2,1)-WEEKDAY(DATE(CalendarYear,2,1),(WeekStart="M")+1)+29</f>
        <v>45711</v>
      </c>
      <c r="D14" s="114">
        <v>45712</v>
      </c>
      <c r="E14" s="157">
        <v>45713</v>
      </c>
      <c r="F14" s="41">
        <v>45714</v>
      </c>
      <c r="G14" s="41">
        <v>45715</v>
      </c>
      <c r="H14" s="41">
        <v>45716</v>
      </c>
      <c r="I14" s="87">
        <v>45717</v>
      </c>
    </row>
    <row r="15" spans="2:9" s="55" customFormat="1" ht="75" customHeight="1" x14ac:dyDescent="0.15">
      <c r="B15" s="85"/>
      <c r="C15" s="130"/>
      <c r="D15" s="132">
        <v>0.625</v>
      </c>
      <c r="E15" s="130"/>
      <c r="F15" s="57"/>
      <c r="G15" s="57"/>
      <c r="H15" s="57"/>
      <c r="I15" s="88"/>
    </row>
    <row r="16" spans="2:9" s="34" customFormat="1" ht="25" customHeight="1" x14ac:dyDescent="0.2">
      <c r="B16" s="78"/>
      <c r="C16" s="84">
        <f t="array" ref="C16:I16">DaysAndWeeks+DATE(CalendarYear,2,1)-WEEKDAY(DATE(CalendarYear,2,1),(WeekStart="M")+1)+36</f>
        <v>45718</v>
      </c>
      <c r="D16" s="40">
        <v>45719</v>
      </c>
      <c r="E16" s="40">
        <v>45720</v>
      </c>
      <c r="F16" s="40">
        <v>45721</v>
      </c>
      <c r="G16" s="40">
        <v>45722</v>
      </c>
      <c r="H16" s="40">
        <v>45723</v>
      </c>
      <c r="I16" s="89">
        <v>45724</v>
      </c>
    </row>
    <row r="17" spans="2:9" s="6" customFormat="1" ht="75" customHeight="1" x14ac:dyDescent="0.15">
      <c r="B17" s="76"/>
      <c r="C17" s="51"/>
      <c r="D17" s="3"/>
      <c r="E17" s="3"/>
      <c r="F17" s="3"/>
      <c r="G17" s="3"/>
      <c r="H17" s="3"/>
      <c r="I17" s="96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J21"/>
  <sheetViews>
    <sheetView showGridLines="0" zoomScaleNormal="100" workbookViewId="0">
      <pane ySplit="5" topLeftCell="A6" activePane="bottomLeft" state="frozen"/>
      <selection pane="bottomLeft" activeCell="J7" sqref="J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>
      <c r="C1" s="82"/>
      <c r="D1" s="82"/>
      <c r="E1" s="82"/>
      <c r="F1" s="82"/>
      <c r="G1" s="82"/>
      <c r="H1" s="82"/>
      <c r="I1" s="82"/>
    </row>
    <row r="2" spans="2:10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10" ht="20" customHeight="1" x14ac:dyDescent="0.15">
      <c r="B3" s="77"/>
      <c r="C3" s="32"/>
      <c r="D3" s="30"/>
      <c r="E3" s="30"/>
      <c r="F3" s="31"/>
      <c r="G3" s="50" t="s">
        <v>11</v>
      </c>
      <c r="H3" s="50" t="s">
        <v>12</v>
      </c>
      <c r="I3" s="94"/>
    </row>
    <row r="4" spans="2:10" ht="75" customHeight="1" x14ac:dyDescent="0.65">
      <c r="B4" s="77"/>
      <c r="C4" s="146">
        <f>CalendarYear</f>
        <v>2025</v>
      </c>
      <c r="D4" s="186" t="s">
        <v>13</v>
      </c>
      <c r="E4" s="186"/>
      <c r="F4" s="186"/>
      <c r="G4" s="186"/>
      <c r="H4" s="186"/>
      <c r="I4" s="147"/>
    </row>
    <row r="5" spans="2:10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10" s="34" customFormat="1" ht="25" customHeight="1" x14ac:dyDescent="0.2">
      <c r="B6" s="78"/>
      <c r="C6" s="66">
        <f t="array" ref="C6:I6">DaysAndWeeks+DATE(CalendarYear,3,1)-WEEKDAY(DATE(CalendarYear,3,1),(WeekStart="M")+1)+1</f>
        <v>45711</v>
      </c>
      <c r="D6" s="37">
        <v>45712</v>
      </c>
      <c r="E6" s="158">
        <v>45713</v>
      </c>
      <c r="F6" s="35">
        <v>45714</v>
      </c>
      <c r="G6" s="35">
        <v>45715</v>
      </c>
      <c r="H6" s="35">
        <v>45716</v>
      </c>
      <c r="I6" s="70">
        <v>45717</v>
      </c>
    </row>
    <row r="7" spans="2:10" s="55" customFormat="1" ht="75" customHeight="1" x14ac:dyDescent="0.15">
      <c r="B7" s="85"/>
      <c r="C7" s="95"/>
      <c r="D7" s="56"/>
      <c r="E7" s="142"/>
      <c r="F7" s="132">
        <v>0.625</v>
      </c>
      <c r="G7" s="132"/>
      <c r="H7" s="132">
        <v>0.625</v>
      </c>
      <c r="I7" s="86"/>
    </row>
    <row r="8" spans="2:10" s="34" customFormat="1" ht="25" customHeight="1" x14ac:dyDescent="0.2">
      <c r="B8" s="78"/>
      <c r="C8" s="38">
        <f t="array" ref="C8:I8">DaysAndWeeks+DATE(CalendarYear,3,1)-WEEKDAY(DATE(CalendarYear,3,1),(WeekStart="M")+1)+8</f>
        <v>45718</v>
      </c>
      <c r="D8" s="35">
        <v>45719</v>
      </c>
      <c r="E8" s="35">
        <v>45720</v>
      </c>
      <c r="F8" s="35">
        <v>45721</v>
      </c>
      <c r="G8" s="38">
        <v>45722</v>
      </c>
      <c r="H8" s="35">
        <v>45723</v>
      </c>
      <c r="I8" s="70">
        <v>45724</v>
      </c>
      <c r="J8" s="55"/>
    </row>
    <row r="9" spans="2:10" s="55" customFormat="1" ht="75" customHeight="1" x14ac:dyDescent="0.15">
      <c r="B9" s="85"/>
      <c r="C9" s="130"/>
      <c r="D9" s="54"/>
      <c r="E9" s="132"/>
      <c r="F9" s="132">
        <v>0.625</v>
      </c>
      <c r="G9" s="133"/>
      <c r="H9" s="54"/>
      <c r="I9" s="86"/>
    </row>
    <row r="10" spans="2:10" s="34" customFormat="1" ht="25" customHeight="1" x14ac:dyDescent="0.2">
      <c r="B10" s="78"/>
      <c r="C10" s="38">
        <f t="array" ref="C10:I10">DaysAndWeeks+DATE(CalendarYear,3,1)-WEEKDAY(DATE(CalendarYear,3,1),(WeekStart="M")+1)+15</f>
        <v>45725</v>
      </c>
      <c r="D10" s="35">
        <v>45726</v>
      </c>
      <c r="E10" s="35">
        <v>45727</v>
      </c>
      <c r="F10" s="35">
        <v>45728</v>
      </c>
      <c r="G10" s="35">
        <v>45729</v>
      </c>
      <c r="H10" s="35">
        <v>45730</v>
      </c>
      <c r="I10" s="70">
        <v>45731</v>
      </c>
    </row>
    <row r="11" spans="2:10" s="55" customFormat="1" ht="75" customHeight="1" x14ac:dyDescent="0.15">
      <c r="B11" s="85"/>
      <c r="C11" s="130"/>
      <c r="D11" s="132">
        <v>0.625</v>
      </c>
      <c r="E11" s="132"/>
      <c r="F11" s="132">
        <v>0.625</v>
      </c>
      <c r="G11" s="132"/>
      <c r="H11" s="132">
        <v>0.625</v>
      </c>
      <c r="I11" s="86"/>
    </row>
    <row r="12" spans="2:10" s="34" customFormat="1" ht="25" customHeight="1" x14ac:dyDescent="0.2">
      <c r="B12" s="78"/>
      <c r="C12" s="38">
        <f t="array" ref="C12:I12">DaysAndWeeks+DATE(CalendarYear,3,1)-WEEKDAY(DATE(CalendarYear,3,1),(WeekStart="M")+1)+22</f>
        <v>45732</v>
      </c>
      <c r="D12" s="35">
        <v>45733</v>
      </c>
      <c r="E12" s="35">
        <v>45734</v>
      </c>
      <c r="F12" s="35">
        <v>45735</v>
      </c>
      <c r="G12" s="35">
        <v>45736</v>
      </c>
      <c r="H12" s="39">
        <v>45737</v>
      </c>
      <c r="I12" s="91">
        <v>45738</v>
      </c>
    </row>
    <row r="13" spans="2:10" s="55" customFormat="1" ht="75" customHeight="1" x14ac:dyDescent="0.15">
      <c r="B13" s="85"/>
      <c r="C13" s="130"/>
      <c r="D13" s="54"/>
      <c r="E13" s="132"/>
      <c r="F13" s="132">
        <v>0.625</v>
      </c>
      <c r="G13" s="132"/>
      <c r="H13" s="54"/>
      <c r="I13" s="86"/>
    </row>
    <row r="14" spans="2:10" s="34" customFormat="1" ht="25" customHeight="1" x14ac:dyDescent="0.2">
      <c r="B14" s="78"/>
      <c r="C14" s="46">
        <f t="array" ref="C14:I14">DaysAndWeeks+DATE(CalendarYear,3,1)-WEEKDAY(DATE(CalendarYear,3,1),(WeekStart="M")+1)+29</f>
        <v>45739</v>
      </c>
      <c r="D14" s="35">
        <v>45740</v>
      </c>
      <c r="E14" s="35">
        <v>45741</v>
      </c>
      <c r="F14" s="35">
        <v>45742</v>
      </c>
      <c r="G14" s="46">
        <v>45743</v>
      </c>
      <c r="H14" s="159">
        <v>45744</v>
      </c>
      <c r="I14" s="72">
        <v>45745</v>
      </c>
    </row>
    <row r="15" spans="2:10" s="55" customFormat="1" ht="75" customHeight="1" x14ac:dyDescent="0.15">
      <c r="B15" s="85"/>
      <c r="C15" s="130"/>
      <c r="D15" s="132">
        <v>0.625</v>
      </c>
      <c r="E15" s="132"/>
      <c r="F15" s="132">
        <v>0.625</v>
      </c>
      <c r="G15" s="130"/>
      <c r="H15" s="175">
        <v>0.625</v>
      </c>
      <c r="I15" s="92"/>
    </row>
    <row r="16" spans="2:10" s="34" customFormat="1" ht="25" customHeight="1" x14ac:dyDescent="0.2">
      <c r="B16" s="78"/>
      <c r="C16" s="44">
        <f t="array" ref="C16:I16">DaysAndWeeks+DATE(CalendarYear,3,1)-WEEKDAY(DATE(CalendarYear,3,1),(WeekStart="M")+1)+36</f>
        <v>45746</v>
      </c>
      <c r="D16" s="37">
        <v>45747</v>
      </c>
      <c r="E16" s="37">
        <v>45748</v>
      </c>
      <c r="F16" s="37">
        <v>45749</v>
      </c>
      <c r="G16" s="37">
        <v>45750</v>
      </c>
      <c r="H16" s="37">
        <v>45751</v>
      </c>
      <c r="I16" s="72">
        <v>45752</v>
      </c>
    </row>
    <row r="17" spans="2:9" s="6" customFormat="1" ht="75" customHeight="1" x14ac:dyDescent="0.15">
      <c r="B17" s="76"/>
      <c r="C17" s="45"/>
      <c r="D17" s="43"/>
      <c r="E17" s="43"/>
      <c r="F17" s="43"/>
      <c r="G17" s="43"/>
      <c r="H17" s="43"/>
      <c r="I17" s="93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L5" sqref="L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15">
      <c r="B3" s="77"/>
      <c r="C3" s="19"/>
      <c r="D3" s="19"/>
      <c r="E3" s="47"/>
      <c r="F3" s="47"/>
      <c r="G3" s="19" t="s">
        <v>14</v>
      </c>
      <c r="H3" s="19" t="s">
        <v>15</v>
      </c>
      <c r="I3" s="98"/>
    </row>
    <row r="4" spans="2:9" ht="75" customHeight="1" x14ac:dyDescent="0.65">
      <c r="B4" s="77"/>
      <c r="C4" s="146">
        <f>CalendarYear</f>
        <v>2025</v>
      </c>
      <c r="D4" s="190" t="s">
        <v>16</v>
      </c>
      <c r="E4" s="190"/>
      <c r="F4" s="190"/>
      <c r="G4" s="190"/>
      <c r="H4" s="190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DaysAndWeeks+DATE(CalendarYear,4,1)-WEEKDAY(DATE(CalendarYear,4,1),(WeekStart="M")+1)+1</f>
        <v>45746</v>
      </c>
      <c r="D6" s="37">
        <v>45747</v>
      </c>
      <c r="E6" s="37">
        <v>45748</v>
      </c>
      <c r="F6" s="37">
        <v>45749</v>
      </c>
      <c r="G6" s="37">
        <v>45750</v>
      </c>
      <c r="H6" s="37">
        <v>45751</v>
      </c>
      <c r="I6" s="70">
        <v>45752</v>
      </c>
    </row>
    <row r="7" spans="2:9" s="55" customFormat="1" ht="75" customHeight="1" x14ac:dyDescent="0.15">
      <c r="B7" s="85"/>
      <c r="C7" s="58"/>
      <c r="D7" s="59"/>
      <c r="E7" s="59"/>
      <c r="F7" s="56"/>
      <c r="G7" s="134"/>
      <c r="H7" s="56"/>
      <c r="I7" s="86"/>
    </row>
    <row r="8" spans="2:9" s="34" customFormat="1" ht="25" customHeight="1" x14ac:dyDescent="0.2">
      <c r="B8" s="78"/>
      <c r="C8" s="38">
        <f t="array" ref="C8:I8">DaysAndWeeks+DATE(CalendarYear,4,1)-WEEKDAY(DATE(CalendarYear,4,1),(WeekStart="M")+1)+8</f>
        <v>45753</v>
      </c>
      <c r="D8" s="35">
        <v>45754</v>
      </c>
      <c r="E8" s="35">
        <v>45755</v>
      </c>
      <c r="F8" s="35">
        <v>45756</v>
      </c>
      <c r="G8" s="35">
        <v>45757</v>
      </c>
      <c r="H8" s="35">
        <v>45758</v>
      </c>
      <c r="I8" s="70">
        <v>45759</v>
      </c>
    </row>
    <row r="9" spans="2:9" s="55" customFormat="1" ht="75" customHeight="1" x14ac:dyDescent="0.15">
      <c r="B9" s="85"/>
      <c r="C9" s="135"/>
      <c r="D9" s="54"/>
      <c r="E9" s="132"/>
      <c r="F9" s="132">
        <v>0.625</v>
      </c>
      <c r="G9" s="135"/>
      <c r="H9" s="54"/>
      <c r="I9" s="86"/>
    </row>
    <row r="10" spans="2:9" s="34" customFormat="1" ht="25" customHeight="1" x14ac:dyDescent="0.2">
      <c r="B10" s="78"/>
      <c r="C10" s="38">
        <f t="array" ref="C10:I10">DaysAndWeeks+DATE(CalendarYear,4,1)-WEEKDAY(DATE(CalendarYear,4,1),(WeekStart="M")+1)+15</f>
        <v>45760</v>
      </c>
      <c r="D10" s="35">
        <v>45761</v>
      </c>
      <c r="E10" s="35">
        <v>45762</v>
      </c>
      <c r="F10" s="35">
        <v>45763</v>
      </c>
      <c r="G10" s="35">
        <v>45764</v>
      </c>
      <c r="H10" s="35">
        <v>45765</v>
      </c>
      <c r="I10" s="70">
        <v>45766</v>
      </c>
    </row>
    <row r="11" spans="2:9" s="55" customFormat="1" ht="75" customHeight="1" x14ac:dyDescent="0.15">
      <c r="B11" s="85"/>
      <c r="C11" s="130"/>
      <c r="D11" s="132">
        <v>0.625</v>
      </c>
      <c r="E11" s="132"/>
      <c r="F11" s="132">
        <v>0.625</v>
      </c>
      <c r="G11" s="132"/>
      <c r="H11" s="132">
        <v>0.625</v>
      </c>
      <c r="I11" s="86"/>
    </row>
    <row r="12" spans="2:9" s="34" customFormat="1" ht="25" customHeight="1" x14ac:dyDescent="0.2">
      <c r="B12" s="78"/>
      <c r="C12" s="38">
        <f t="array" ref="C12:I12">DaysAndWeeks+DATE(CalendarYear,4,1)-WEEKDAY(DATE(CalendarYear,4,1),(WeekStart="M")+1)+22</f>
        <v>45767</v>
      </c>
      <c r="D12" s="35">
        <v>45768</v>
      </c>
      <c r="E12" s="35">
        <v>45769</v>
      </c>
      <c r="F12" s="35">
        <v>45770</v>
      </c>
      <c r="G12" s="35">
        <v>45771</v>
      </c>
      <c r="H12" s="35">
        <v>45772</v>
      </c>
      <c r="I12" s="70">
        <v>45773</v>
      </c>
    </row>
    <row r="13" spans="2:9" s="55" customFormat="1" ht="75" customHeight="1" x14ac:dyDescent="0.15">
      <c r="B13" s="85"/>
      <c r="C13" s="135"/>
      <c r="D13" s="54"/>
      <c r="E13" s="132"/>
      <c r="F13" s="132">
        <v>0.625</v>
      </c>
      <c r="G13" s="135"/>
      <c r="H13" s="54"/>
      <c r="I13" s="86"/>
    </row>
    <row r="14" spans="2:9" s="34" customFormat="1" ht="25" customHeight="1" x14ac:dyDescent="0.2">
      <c r="B14" s="78"/>
      <c r="C14" s="38">
        <f t="array" ref="C14:I14">DaysAndWeeks+DATE(CalendarYear,4,1)-WEEKDAY(DATE(CalendarYear,4,1),(WeekStart="M")+1)+29</f>
        <v>45774</v>
      </c>
      <c r="D14" s="35">
        <v>45775</v>
      </c>
      <c r="E14" s="35">
        <v>45776</v>
      </c>
      <c r="F14" s="35">
        <v>45777</v>
      </c>
      <c r="G14" s="35">
        <v>45778</v>
      </c>
      <c r="H14" s="35">
        <v>45779</v>
      </c>
      <c r="I14" s="70">
        <v>45780</v>
      </c>
    </row>
    <row r="15" spans="2:9" s="55" customFormat="1" ht="75" customHeight="1" x14ac:dyDescent="0.15">
      <c r="B15" s="85"/>
      <c r="C15" s="130"/>
      <c r="D15" s="132">
        <v>0.625</v>
      </c>
      <c r="E15" s="132"/>
      <c r="F15" s="132">
        <v>0.625</v>
      </c>
      <c r="G15" s="132"/>
      <c r="H15" s="132">
        <v>0.625</v>
      </c>
      <c r="I15" s="86"/>
    </row>
    <row r="16" spans="2:9" s="34" customFormat="1" ht="25" customHeight="1" x14ac:dyDescent="0.2">
      <c r="B16" s="78"/>
      <c r="C16" s="160">
        <f t="array" ref="C16:I16">DaysAndWeeks+DATE(CalendarYear,4,1)-WEEKDAY(DATE(CalendarYear,4,1),(WeekStart="M")+1)+36</f>
        <v>45781</v>
      </c>
      <c r="D16" s="53">
        <v>45782</v>
      </c>
      <c r="E16" s="53">
        <v>45783</v>
      </c>
      <c r="F16" s="53">
        <v>45784</v>
      </c>
      <c r="G16" s="53">
        <v>45785</v>
      </c>
      <c r="H16" s="53">
        <v>45786</v>
      </c>
      <c r="I16" s="97">
        <v>45787</v>
      </c>
    </row>
    <row r="17" spans="2:9" s="6" customFormat="1" ht="75" customHeight="1" x14ac:dyDescent="0.15">
      <c r="B17" s="76"/>
      <c r="C17" s="161"/>
      <c r="D17" s="43"/>
      <c r="E17" s="43"/>
      <c r="F17" s="43"/>
      <c r="G17" s="43"/>
      <c r="H17" s="43"/>
      <c r="I17" s="93"/>
    </row>
    <row r="18" spans="2:9" ht="125" customHeight="1" thickBot="1" x14ac:dyDescent="0.2">
      <c r="B18" s="77"/>
      <c r="C18" s="187" t="s">
        <v>7</v>
      </c>
      <c r="D18" s="188"/>
      <c r="E18" s="188"/>
      <c r="F18" s="188"/>
      <c r="G18" s="188"/>
      <c r="H18" s="188"/>
      <c r="I18" s="189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L8" sqref="L8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30"/>
      <c r="G3" s="19" t="s">
        <v>17</v>
      </c>
      <c r="H3" s="19" t="s">
        <v>18</v>
      </c>
      <c r="I3" s="81"/>
    </row>
    <row r="4" spans="2:9" ht="75" customHeight="1" x14ac:dyDescent="0.65">
      <c r="B4" s="77"/>
      <c r="C4" s="146">
        <f>CalendarYear</f>
        <v>2025</v>
      </c>
      <c r="D4" s="190" t="s">
        <v>19</v>
      </c>
      <c r="E4" s="190"/>
      <c r="F4" s="190"/>
      <c r="G4" s="190"/>
      <c r="H4" s="190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66">
        <f t="array" ref="C6:I6">DaysAndWeeks+DATE(CalendarYear,5,1)-WEEKDAY(DATE(CalendarYear,5,1),(WeekStart="M")+1)+1</f>
        <v>45774</v>
      </c>
      <c r="D6" s="114">
        <v>45775</v>
      </c>
      <c r="E6" s="120">
        <v>45776</v>
      </c>
      <c r="F6" s="120">
        <v>45777</v>
      </c>
      <c r="G6" s="120">
        <v>45778</v>
      </c>
      <c r="H6" s="120">
        <v>45779</v>
      </c>
      <c r="I6" s="121">
        <v>45780</v>
      </c>
    </row>
    <row r="7" spans="2:9" s="55" customFormat="1" ht="75" customHeight="1" x14ac:dyDescent="0.15">
      <c r="B7" s="85"/>
      <c r="C7" s="162"/>
      <c r="D7" s="11"/>
      <c r="E7" s="132"/>
      <c r="F7" s="132">
        <v>0.625</v>
      </c>
      <c r="G7" s="136"/>
      <c r="H7" s="54"/>
      <c r="I7" s="86"/>
    </row>
    <row r="8" spans="2:9" s="36" customFormat="1" ht="25" customHeight="1" x14ac:dyDescent="0.2">
      <c r="B8" s="80"/>
      <c r="C8" s="119">
        <f t="array" ref="C8:I8">DaysAndWeeks+DATE(CalendarYear,5,1)-WEEKDAY(DATE(CalendarYear,5,1),(WeekStart="M")+1)+8</f>
        <v>45781</v>
      </c>
      <c r="D8" s="114">
        <v>45782</v>
      </c>
      <c r="E8" s="114">
        <v>45783</v>
      </c>
      <c r="F8" s="114">
        <v>45784</v>
      </c>
      <c r="G8" s="114">
        <v>45785</v>
      </c>
      <c r="H8" s="114">
        <v>45786</v>
      </c>
      <c r="I8" s="115">
        <v>45787</v>
      </c>
    </row>
    <row r="9" spans="2:9" s="55" customFormat="1" ht="75" customHeight="1" x14ac:dyDescent="0.15">
      <c r="B9" s="85"/>
      <c r="C9" s="132"/>
      <c r="D9" s="132">
        <v>0.625</v>
      </c>
      <c r="E9" s="132"/>
      <c r="F9" s="132">
        <v>0.625</v>
      </c>
      <c r="G9" s="132"/>
      <c r="H9" s="132">
        <v>0.625</v>
      </c>
      <c r="I9" s="86"/>
    </row>
    <row r="10" spans="2:9" s="36" customFormat="1" ht="25" customHeight="1" x14ac:dyDescent="0.2">
      <c r="B10" s="80"/>
      <c r="C10" s="119">
        <f t="array" ref="C10:I10">DaysAndWeeks+DATE(CalendarYear,5,1)-WEEKDAY(DATE(CalendarYear,5,1),(WeekStart="M")+1)+15</f>
        <v>45788</v>
      </c>
      <c r="D10" s="114">
        <v>45789</v>
      </c>
      <c r="E10" s="114">
        <v>45790</v>
      </c>
      <c r="F10" s="122">
        <v>45791</v>
      </c>
      <c r="G10" s="114">
        <v>45792</v>
      </c>
      <c r="H10" s="114">
        <v>45793</v>
      </c>
      <c r="I10" s="115">
        <v>45794</v>
      </c>
    </row>
    <row r="11" spans="2:9" s="55" customFormat="1" ht="75" customHeight="1" x14ac:dyDescent="0.15">
      <c r="B11" s="85"/>
      <c r="C11" s="135"/>
      <c r="D11" s="54"/>
      <c r="E11" s="132"/>
      <c r="F11" s="176">
        <v>0.625</v>
      </c>
      <c r="G11" s="136"/>
      <c r="H11" s="54"/>
      <c r="I11" s="86"/>
    </row>
    <row r="12" spans="2:9" s="36" customFormat="1" ht="25" customHeight="1" x14ac:dyDescent="0.2">
      <c r="B12" s="80"/>
      <c r="C12" s="119">
        <f t="array" ref="C12:I12">DaysAndWeeks+DATE(CalendarYear,5,1)-WEEKDAY(DATE(CalendarYear,5,1),(WeekStart="M")+1)+22</f>
        <v>45795</v>
      </c>
      <c r="D12" s="114">
        <v>45796</v>
      </c>
      <c r="E12" s="114">
        <v>45797</v>
      </c>
      <c r="F12" s="114">
        <v>45798</v>
      </c>
      <c r="G12" s="114">
        <v>45799</v>
      </c>
      <c r="H12" s="114">
        <v>45800</v>
      </c>
      <c r="I12" s="115">
        <v>45801</v>
      </c>
    </row>
    <row r="13" spans="2:9" s="55" customFormat="1" ht="75" customHeight="1" x14ac:dyDescent="0.15">
      <c r="B13" s="85"/>
      <c r="C13" s="132"/>
      <c r="D13" s="132">
        <v>0.625</v>
      </c>
      <c r="E13" s="132"/>
      <c r="F13" s="54"/>
      <c r="G13" s="132"/>
      <c r="H13" s="132">
        <v>0.625</v>
      </c>
      <c r="I13" s="86"/>
    </row>
    <row r="14" spans="2:9" s="36" customFormat="1" ht="25" customHeight="1" x14ac:dyDescent="0.2">
      <c r="B14" s="80"/>
      <c r="C14" s="119">
        <f t="array" ref="C14:I14">DaysAndWeeks+DATE(CalendarYear,5,1)-WEEKDAY(DATE(CalendarYear,5,1),(WeekStart="M")+1)+29</f>
        <v>45802</v>
      </c>
      <c r="D14" s="114">
        <v>45803</v>
      </c>
      <c r="E14" s="114">
        <v>45804</v>
      </c>
      <c r="F14" s="114">
        <v>45805</v>
      </c>
      <c r="G14" s="37">
        <v>45806</v>
      </c>
      <c r="H14" s="37">
        <v>45807</v>
      </c>
      <c r="I14" s="72">
        <v>45808</v>
      </c>
    </row>
    <row r="15" spans="2:9" s="55" customFormat="1" ht="75" customHeight="1" x14ac:dyDescent="0.15">
      <c r="B15" s="85"/>
      <c r="C15" s="135"/>
      <c r="D15" s="139"/>
      <c r="E15" s="132"/>
      <c r="F15" s="132">
        <v>0.625</v>
      </c>
      <c r="G15" s="56"/>
      <c r="H15" s="56"/>
      <c r="I15" s="92"/>
    </row>
    <row r="16" spans="2:9" s="34" customFormat="1" ht="25" customHeight="1" x14ac:dyDescent="0.2">
      <c r="B16" s="78"/>
      <c r="C16" s="44">
        <f t="array" ref="C16:I16">DaysAndWeeks+DATE(CalendarYear,5,1)-WEEKDAY(DATE(CalendarYear,5,1),(WeekStart="M")+1)+36</f>
        <v>45809</v>
      </c>
      <c r="D16" s="37">
        <v>45810</v>
      </c>
      <c r="E16" s="37">
        <v>45811</v>
      </c>
      <c r="F16" s="37">
        <v>45812</v>
      </c>
      <c r="G16" s="37">
        <v>45813</v>
      </c>
      <c r="H16" s="37">
        <v>45814</v>
      </c>
      <c r="I16" s="72">
        <v>45815</v>
      </c>
    </row>
    <row r="17" spans="2:9" ht="75" customHeight="1" x14ac:dyDescent="0.15">
      <c r="B17" s="77"/>
      <c r="C17" s="49"/>
      <c r="D17" s="48"/>
      <c r="E17" s="48"/>
      <c r="F17" s="48"/>
      <c r="G17" s="48"/>
      <c r="H17" s="48"/>
      <c r="I17" s="99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C15:D15 F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6" sqref="K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62"/>
      <c r="G3" s="19" t="s">
        <v>20</v>
      </c>
      <c r="H3" s="19" t="s">
        <v>21</v>
      </c>
      <c r="I3" s="81"/>
    </row>
    <row r="4" spans="2:9" ht="75" customHeight="1" x14ac:dyDescent="0.65">
      <c r="B4" s="77"/>
      <c r="C4" s="146">
        <f>CalendarYear</f>
        <v>2025</v>
      </c>
      <c r="D4" s="190" t="s">
        <v>22</v>
      </c>
      <c r="E4" s="190"/>
      <c r="F4" s="190"/>
      <c r="G4" s="190"/>
      <c r="H4" s="190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DaysAndWeeks+DATE(CalendarYear,6,1)-WEEKDAY(DATE(CalendarYear,6,1),(WeekStart="M")+1)+1</f>
        <v>45809</v>
      </c>
      <c r="D6" s="37">
        <v>45810</v>
      </c>
      <c r="E6" s="37">
        <v>45811</v>
      </c>
      <c r="F6" s="37">
        <v>45812</v>
      </c>
      <c r="G6" s="35">
        <v>45813</v>
      </c>
      <c r="H6" s="35">
        <v>45814</v>
      </c>
      <c r="I6" s="70">
        <v>45815</v>
      </c>
    </row>
    <row r="7" spans="2:9" s="68" customFormat="1" ht="75" customHeight="1" x14ac:dyDescent="0.15">
      <c r="B7" s="79"/>
      <c r="C7" s="69"/>
      <c r="D7" s="67"/>
      <c r="E7" s="138"/>
      <c r="F7" s="163"/>
      <c r="G7" s="137"/>
      <c r="H7" s="63"/>
      <c r="I7" s="71"/>
    </row>
    <row r="8" spans="2:9" s="36" customFormat="1" ht="25" customHeight="1" x14ac:dyDescent="0.2">
      <c r="B8" s="80"/>
      <c r="C8" s="38">
        <f t="array" ref="C8:I8">DaysAndWeeks+DATE(CalendarYear,6,1)-WEEKDAY(DATE(CalendarYear,6,1),(WeekStart="M")+1)+8</f>
        <v>45816</v>
      </c>
      <c r="D8" s="35">
        <v>45817</v>
      </c>
      <c r="E8" s="35">
        <v>45818</v>
      </c>
      <c r="F8" s="35">
        <v>45819</v>
      </c>
      <c r="G8" s="35">
        <v>45820</v>
      </c>
      <c r="H8" s="35">
        <v>45821</v>
      </c>
      <c r="I8" s="70">
        <v>45822</v>
      </c>
    </row>
    <row r="9" spans="2:9" s="68" customFormat="1" ht="75" customHeight="1" x14ac:dyDescent="0.15">
      <c r="B9" s="79"/>
      <c r="C9" s="132"/>
      <c r="D9" s="128">
        <v>0.625</v>
      </c>
      <c r="E9" s="132"/>
      <c r="F9" s="128">
        <v>0.625</v>
      </c>
      <c r="G9" s="132"/>
      <c r="H9" s="128">
        <v>0.625</v>
      </c>
      <c r="I9" s="71"/>
    </row>
    <row r="10" spans="2:9" s="36" customFormat="1" ht="25" customHeight="1" x14ac:dyDescent="0.2">
      <c r="B10" s="80"/>
      <c r="C10" s="38">
        <f t="array" ref="C10:I10">DaysAndWeeks+DATE(CalendarYear,6,1)-WEEKDAY(DATE(CalendarYear,6,1),(WeekStart="M")+1)+15</f>
        <v>45823</v>
      </c>
      <c r="D10" s="35">
        <v>45824</v>
      </c>
      <c r="E10" s="35">
        <v>45825</v>
      </c>
      <c r="F10" s="35">
        <v>45826</v>
      </c>
      <c r="G10" s="35">
        <v>45827</v>
      </c>
      <c r="H10" s="35">
        <v>45828</v>
      </c>
      <c r="I10" s="70">
        <v>45829</v>
      </c>
    </row>
    <row r="11" spans="2:9" s="68" customFormat="1" ht="75" customHeight="1" x14ac:dyDescent="0.15">
      <c r="B11" s="79"/>
      <c r="C11" s="141"/>
      <c r="D11" s="140"/>
      <c r="E11" s="132"/>
      <c r="F11" s="128">
        <v>0.625</v>
      </c>
      <c r="G11" s="137"/>
      <c r="H11" s="63"/>
      <c r="I11" s="71"/>
    </row>
    <row r="12" spans="2:9" s="36" customFormat="1" ht="25" customHeight="1" x14ac:dyDescent="0.2">
      <c r="B12" s="80"/>
      <c r="C12" s="38">
        <f t="array" ref="C12:I12">DaysAndWeeks+DATE(CalendarYear,6,1)-WEEKDAY(DATE(CalendarYear,6,1),(WeekStart="M")+1)+22</f>
        <v>45830</v>
      </c>
      <c r="D12" s="35">
        <v>45831</v>
      </c>
      <c r="E12" s="35">
        <v>45832</v>
      </c>
      <c r="F12" s="35">
        <v>45833</v>
      </c>
      <c r="G12" s="35">
        <v>45834</v>
      </c>
      <c r="H12" s="35">
        <v>45835</v>
      </c>
      <c r="I12" s="70">
        <v>45836</v>
      </c>
    </row>
    <row r="13" spans="2:9" s="68" customFormat="1" ht="75" customHeight="1" x14ac:dyDescent="0.15">
      <c r="B13" s="79"/>
      <c r="C13" s="132"/>
      <c r="D13" s="128">
        <v>0.625</v>
      </c>
      <c r="E13" s="132"/>
      <c r="F13" s="128">
        <v>0.625</v>
      </c>
      <c r="G13" s="132"/>
      <c r="H13" s="128">
        <v>0.625</v>
      </c>
      <c r="I13" s="71"/>
    </row>
    <row r="14" spans="2:9" s="36" customFormat="1" ht="25" customHeight="1" x14ac:dyDescent="0.2">
      <c r="B14" s="80"/>
      <c r="C14" s="38">
        <f t="array" ref="C14:I14">DaysAndWeeks+DATE(CalendarYear,6,1)-WEEKDAY(DATE(CalendarYear,6,1),(WeekStart="M")+1)+29</f>
        <v>45837</v>
      </c>
      <c r="D14" s="35">
        <v>45838</v>
      </c>
      <c r="E14" s="35">
        <v>45839</v>
      </c>
      <c r="F14" s="35">
        <v>45840</v>
      </c>
      <c r="G14" s="35">
        <v>45841</v>
      </c>
      <c r="H14" s="148">
        <v>45842</v>
      </c>
      <c r="I14" s="72">
        <v>45843</v>
      </c>
    </row>
    <row r="15" spans="2:9" s="68" customFormat="1" ht="75" customHeight="1" x14ac:dyDescent="0.15">
      <c r="B15" s="79"/>
      <c r="C15" s="141"/>
      <c r="D15" s="140"/>
      <c r="E15" s="132"/>
      <c r="F15" s="128">
        <v>0.625</v>
      </c>
      <c r="G15" s="137"/>
      <c r="H15" s="164"/>
      <c r="I15" s="73"/>
    </row>
    <row r="16" spans="2:9" s="34" customFormat="1" ht="25" customHeight="1" x14ac:dyDescent="0.2">
      <c r="B16" s="78"/>
      <c r="C16" s="44">
        <f t="array" ref="C16:I16">DaysAndWeeks+DATE(CalendarYear,6,1)-WEEKDAY(DATE(CalendarYear,6,1),(WeekStart="M")+1)+36</f>
        <v>45844</v>
      </c>
      <c r="D16" s="37">
        <v>45845</v>
      </c>
      <c r="E16" s="37">
        <v>45846</v>
      </c>
      <c r="F16" s="37">
        <v>45847</v>
      </c>
      <c r="G16" s="37">
        <v>45848</v>
      </c>
      <c r="H16" s="37">
        <v>45849</v>
      </c>
      <c r="I16" s="72">
        <v>45850</v>
      </c>
    </row>
    <row r="17" spans="2:9" s="34" customFormat="1" ht="75" customHeight="1" x14ac:dyDescent="0.2">
      <c r="B17" s="78"/>
      <c r="C17" s="74"/>
      <c r="D17" s="65"/>
      <c r="E17" s="65"/>
      <c r="F17" s="65"/>
      <c r="G17" s="65"/>
      <c r="H17" s="65"/>
      <c r="I17" s="75"/>
    </row>
    <row r="18" spans="2:9" ht="125" customHeight="1" thickBot="1" x14ac:dyDescent="0.2">
      <c r="B18" s="77"/>
      <c r="C18" s="187" t="s">
        <v>7</v>
      </c>
      <c r="D18" s="188"/>
      <c r="E18" s="188"/>
      <c r="F18" s="188"/>
      <c r="G18" s="188"/>
      <c r="H18" s="188"/>
      <c r="I18" s="189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C15:D15 F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="75" zoomScaleNormal="100" workbookViewId="0">
      <pane ySplit="5" topLeftCell="A6" activePane="bottomLeft" state="frozen"/>
      <selection pane="bottomLeft" activeCell="M10" sqref="M10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62"/>
      <c r="G3" s="19" t="s">
        <v>23</v>
      </c>
      <c r="H3" s="19" t="s">
        <v>24</v>
      </c>
      <c r="I3" s="81"/>
    </row>
    <row r="4" spans="2:9" ht="75" customHeight="1" x14ac:dyDescent="0.65">
      <c r="B4" s="77"/>
      <c r="C4" s="146">
        <f>CalendarYear</f>
        <v>2025</v>
      </c>
      <c r="D4" s="186" t="s">
        <v>25</v>
      </c>
      <c r="E4" s="186"/>
      <c r="F4" s="186"/>
      <c r="G4" s="186"/>
      <c r="H4" s="186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44">
        <f t="array" ref="C6:I6">DaysAndWeeks+DATE(CalendarYear,7,1)-WEEKDAY(DATE(CalendarYear,7,1),(WeekStart="M")+1)+1</f>
        <v>45837</v>
      </c>
      <c r="D6" s="37">
        <v>45838</v>
      </c>
      <c r="E6" s="37">
        <v>45839</v>
      </c>
      <c r="F6" s="66">
        <v>45840</v>
      </c>
      <c r="G6" s="37">
        <v>45841</v>
      </c>
      <c r="H6" s="37">
        <v>45842</v>
      </c>
      <c r="I6" s="70">
        <v>45843</v>
      </c>
    </row>
    <row r="7" spans="2:9" s="55" customFormat="1" ht="75" customHeight="1" x14ac:dyDescent="0.15">
      <c r="B7" s="85"/>
      <c r="C7" s="58"/>
      <c r="D7" s="56"/>
      <c r="E7" s="56"/>
      <c r="F7" s="100"/>
      <c r="G7" s="142"/>
      <c r="H7" s="56"/>
      <c r="I7" s="86"/>
    </row>
    <row r="8" spans="2:9" s="36" customFormat="1" ht="25" customHeight="1" x14ac:dyDescent="0.2">
      <c r="B8" s="80"/>
      <c r="C8" s="38">
        <f t="array" ref="C8:I8">DaysAndWeeks+DATE(CalendarYear,7,1)-WEEKDAY(DATE(CalendarYear,7,1),(WeekStart="M")+1)+8</f>
        <v>45844</v>
      </c>
      <c r="D8" s="35">
        <v>45845</v>
      </c>
      <c r="E8" s="35">
        <v>45846</v>
      </c>
      <c r="F8" s="35">
        <v>45847</v>
      </c>
      <c r="G8" s="35">
        <v>45848</v>
      </c>
      <c r="H8" s="35">
        <v>45849</v>
      </c>
      <c r="I8" s="70">
        <v>45850</v>
      </c>
    </row>
    <row r="9" spans="2:9" s="55" customFormat="1" ht="75" customHeight="1" x14ac:dyDescent="0.15">
      <c r="B9" s="85"/>
      <c r="C9" s="132"/>
      <c r="D9" s="132">
        <v>0.625</v>
      </c>
      <c r="E9" s="132"/>
      <c r="F9" s="132">
        <v>0.625</v>
      </c>
      <c r="G9" s="132"/>
      <c r="H9" s="132">
        <v>0.625</v>
      </c>
      <c r="I9" s="86"/>
    </row>
    <row r="10" spans="2:9" s="36" customFormat="1" ht="25" customHeight="1" x14ac:dyDescent="0.2">
      <c r="B10" s="80"/>
      <c r="C10" s="38">
        <f t="array" ref="C10:I10">DaysAndWeeks+DATE(CalendarYear,7,1)-WEEKDAY(DATE(CalendarYear,7,1),(WeekStart="M")+1)+15</f>
        <v>45851</v>
      </c>
      <c r="D10" s="35">
        <v>45852</v>
      </c>
      <c r="E10" s="35">
        <v>45853</v>
      </c>
      <c r="F10" s="35">
        <v>45854</v>
      </c>
      <c r="G10" s="35">
        <v>45855</v>
      </c>
      <c r="H10" s="35">
        <v>45856</v>
      </c>
      <c r="I10" s="70">
        <v>45857</v>
      </c>
    </row>
    <row r="11" spans="2:9" s="55" customFormat="1" ht="75" customHeight="1" x14ac:dyDescent="0.15">
      <c r="B11" s="85"/>
      <c r="C11" s="135"/>
      <c r="D11" s="139"/>
      <c r="E11" s="132"/>
      <c r="F11" s="132">
        <v>0.625</v>
      </c>
      <c r="G11" s="136"/>
      <c r="H11" s="54"/>
      <c r="I11" s="86"/>
    </row>
    <row r="12" spans="2:9" s="36" customFormat="1" ht="25" customHeight="1" x14ac:dyDescent="0.2">
      <c r="B12" s="80"/>
      <c r="C12" s="38">
        <f t="array" ref="C12:I12">DaysAndWeeks+DATE(CalendarYear,7,1)-WEEKDAY(DATE(CalendarYear,7,1),(WeekStart="M")+1)+22</f>
        <v>45858</v>
      </c>
      <c r="D12" s="35">
        <v>45859</v>
      </c>
      <c r="E12" s="35">
        <v>45860</v>
      </c>
      <c r="F12" s="35">
        <v>45861</v>
      </c>
      <c r="G12" s="35">
        <v>45862</v>
      </c>
      <c r="H12" s="35">
        <v>45863</v>
      </c>
      <c r="I12" s="70">
        <v>45864</v>
      </c>
    </row>
    <row r="13" spans="2:9" s="55" customFormat="1" ht="75" customHeight="1" x14ac:dyDescent="0.15">
      <c r="B13" s="85"/>
      <c r="C13" s="132"/>
      <c r="D13" s="132">
        <v>0.625</v>
      </c>
      <c r="E13" s="132"/>
      <c r="F13" s="132">
        <v>0.625</v>
      </c>
      <c r="G13" s="132"/>
      <c r="H13" s="132">
        <v>0.625</v>
      </c>
      <c r="I13" s="86"/>
    </row>
    <row r="14" spans="2:9" s="34" customFormat="1" ht="25" customHeight="1" x14ac:dyDescent="0.2">
      <c r="B14" s="78"/>
      <c r="C14" s="38">
        <f t="array" ref="C14:I14">DaysAndWeeks+DATE(CalendarYear,7,1)-WEEKDAY(DATE(CalendarYear,7,1),(WeekStart="M")+1)+29</f>
        <v>45865</v>
      </c>
      <c r="D14" s="35">
        <v>45866</v>
      </c>
      <c r="E14" s="35">
        <v>45867</v>
      </c>
      <c r="F14" s="35">
        <v>45868</v>
      </c>
      <c r="G14" s="35">
        <v>45869</v>
      </c>
      <c r="H14" s="35">
        <v>45870</v>
      </c>
      <c r="I14" s="70">
        <v>45871</v>
      </c>
    </row>
    <row r="15" spans="2:9" s="55" customFormat="1" ht="75" customHeight="1" x14ac:dyDescent="0.15">
      <c r="B15" s="85"/>
      <c r="C15" s="135"/>
      <c r="D15" s="139"/>
      <c r="E15" s="132"/>
      <c r="F15" s="132">
        <v>0.625</v>
      </c>
      <c r="G15" s="136"/>
      <c r="H15" s="54"/>
      <c r="I15" s="101"/>
    </row>
    <row r="16" spans="2:9" s="36" customFormat="1" ht="25" customHeight="1" x14ac:dyDescent="0.2">
      <c r="B16" s="80"/>
      <c r="C16" s="38">
        <f t="array" ref="C16:I16">DaysAndWeeks+DATE(CalendarYear,7,1)-WEEKDAY(DATE(CalendarYear,7,1),(WeekStart="M")+1)+36</f>
        <v>45872</v>
      </c>
      <c r="D16" s="114">
        <v>45873</v>
      </c>
      <c r="E16" s="37">
        <v>45874</v>
      </c>
      <c r="F16" s="37">
        <v>45875</v>
      </c>
      <c r="G16" s="37">
        <v>45876</v>
      </c>
      <c r="H16" s="37">
        <v>45877</v>
      </c>
      <c r="I16" s="72">
        <v>45878</v>
      </c>
    </row>
    <row r="17" spans="2:9" s="55" customFormat="1" ht="75" customHeight="1" x14ac:dyDescent="0.15">
      <c r="B17" s="85"/>
      <c r="C17" s="132"/>
      <c r="D17" s="132">
        <v>0.625</v>
      </c>
      <c r="E17" s="56"/>
      <c r="F17" s="56"/>
      <c r="G17" s="56"/>
      <c r="H17" s="56"/>
      <c r="I17" s="92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C15:D15 F15:I15 C16:I16 D17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="88" zoomScaleNormal="100" workbookViewId="0">
      <pane ySplit="5" topLeftCell="A6" activePane="bottomLeft" state="frozen"/>
      <selection pane="bottomLeft" activeCell="K8" sqref="K8"/>
    </sheetView>
  </sheetViews>
  <sheetFormatPr baseColWidth="10" defaultColWidth="8.625" defaultRowHeight="17" x14ac:dyDescent="0.15"/>
  <cols>
    <col min="1" max="2" width="2.625" style="34" customWidth="1"/>
    <col min="3" max="9" width="24.375" style="34" customWidth="1"/>
    <col min="10" max="16384" width="8.625" style="34"/>
  </cols>
  <sheetData>
    <row r="1" spans="2:9" ht="15" customHeight="1" thickBot="1" x14ac:dyDescent="0.2"/>
    <row r="2" spans="2:9" ht="75" customHeight="1" thickTop="1" x14ac:dyDescent="0.15">
      <c r="B2" s="78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2">
      <c r="B3" s="78"/>
      <c r="C3" s="102"/>
      <c r="D3" s="103"/>
      <c r="E3" s="103"/>
      <c r="F3" s="104"/>
      <c r="G3" s="50" t="s">
        <v>26</v>
      </c>
      <c r="H3" s="50" t="s">
        <v>27</v>
      </c>
      <c r="I3" s="110"/>
    </row>
    <row r="4" spans="2:9" ht="75" customHeight="1" x14ac:dyDescent="0.65">
      <c r="B4" s="78"/>
      <c r="C4" s="146">
        <f>CalendarYear</f>
        <v>2025</v>
      </c>
      <c r="D4" s="186" t="s">
        <v>28</v>
      </c>
      <c r="E4" s="186"/>
      <c r="F4" s="186"/>
      <c r="G4" s="186"/>
      <c r="H4" s="186"/>
      <c r="I4" s="147"/>
    </row>
    <row r="5" spans="2:9" ht="35" customHeight="1" x14ac:dyDescent="0.15">
      <c r="B5" s="78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105" customFormat="1" ht="25" customHeight="1" x14ac:dyDescent="0.2">
      <c r="B6" s="108"/>
      <c r="C6" s="107">
        <f t="array" ref="C6:I6">DaysAndWeeks+DATE(CalendarYear,8,1)-WEEKDAY(DATE(CalendarYear,8,1),(WeekStart="M")+1)+1</f>
        <v>45865</v>
      </c>
      <c r="D6" s="107">
        <v>45866</v>
      </c>
      <c r="E6" s="64">
        <v>45867</v>
      </c>
      <c r="F6" s="64">
        <v>45868</v>
      </c>
      <c r="G6" s="64">
        <v>45869</v>
      </c>
      <c r="H6" s="64">
        <v>45870</v>
      </c>
      <c r="I6" s="109">
        <v>45871</v>
      </c>
    </row>
    <row r="7" spans="2:9" s="68" customFormat="1" ht="75" customHeight="1" x14ac:dyDescent="0.15">
      <c r="B7" s="79"/>
      <c r="C7" s="143">
        <v>0.625</v>
      </c>
      <c r="D7" s="143"/>
      <c r="E7" s="132"/>
      <c r="F7" s="128">
        <v>0.625</v>
      </c>
      <c r="G7" s="132"/>
      <c r="H7" s="128">
        <v>0.625</v>
      </c>
      <c r="I7" s="71"/>
    </row>
    <row r="8" spans="2:9" ht="25" customHeight="1" x14ac:dyDescent="0.2">
      <c r="B8" s="78"/>
      <c r="C8" s="38">
        <f t="array" ref="C8:I8">DaysAndWeeks+DATE(CalendarYear,8,1)-WEEKDAY(DATE(CalendarYear,8,1),(WeekStart="M")+1)+8</f>
        <v>45872</v>
      </c>
      <c r="D8" s="114">
        <v>45873</v>
      </c>
      <c r="E8" s="35">
        <v>45874</v>
      </c>
      <c r="F8" s="35">
        <v>45875</v>
      </c>
      <c r="G8" s="35">
        <v>45876</v>
      </c>
      <c r="H8" s="35">
        <v>45877</v>
      </c>
      <c r="I8" s="70">
        <v>45878</v>
      </c>
    </row>
    <row r="9" spans="2:9" s="68" customFormat="1" ht="75" customHeight="1" x14ac:dyDescent="0.15">
      <c r="B9" s="79"/>
      <c r="C9" s="141"/>
      <c r="D9" s="140"/>
      <c r="E9" s="132"/>
      <c r="F9" s="128">
        <v>0.625</v>
      </c>
      <c r="G9" s="137"/>
      <c r="H9" s="63"/>
      <c r="I9" s="71"/>
    </row>
    <row r="10" spans="2:9" ht="25" customHeight="1" x14ac:dyDescent="0.2">
      <c r="B10" s="78"/>
      <c r="C10" s="38">
        <f t="array" ref="C10:I10">DaysAndWeeks+DATE(CalendarYear,8,1)-WEEKDAY(DATE(CalendarYear,8,1),(WeekStart="M")+1)+15</f>
        <v>45879</v>
      </c>
      <c r="D10" s="114">
        <v>45880</v>
      </c>
      <c r="E10" s="35">
        <v>45881</v>
      </c>
      <c r="F10" s="35">
        <v>45882</v>
      </c>
      <c r="G10" s="35">
        <v>45883</v>
      </c>
      <c r="H10" s="35">
        <v>45884</v>
      </c>
      <c r="I10" s="70">
        <v>45885</v>
      </c>
    </row>
    <row r="11" spans="2:9" s="68" customFormat="1" ht="75" customHeight="1" x14ac:dyDescent="0.15">
      <c r="B11" s="79"/>
      <c r="C11" s="132"/>
      <c r="D11" s="128">
        <v>0.625</v>
      </c>
      <c r="E11" s="132"/>
      <c r="F11" s="128">
        <v>0.625</v>
      </c>
      <c r="G11" s="132"/>
      <c r="H11" s="128">
        <v>0.625</v>
      </c>
      <c r="I11" s="71"/>
    </row>
    <row r="12" spans="2:9" ht="25" customHeight="1" x14ac:dyDescent="0.2">
      <c r="B12" s="78"/>
      <c r="C12" s="38">
        <f t="array" ref="C12:I12">DaysAndWeeks+DATE(CalendarYear,8,1)-WEEKDAY(DATE(CalendarYear,8,1),(WeekStart="M")+1)+22</f>
        <v>45886</v>
      </c>
      <c r="D12" s="114">
        <v>45887</v>
      </c>
      <c r="E12" s="35">
        <v>45888</v>
      </c>
      <c r="F12" s="35">
        <v>45889</v>
      </c>
      <c r="G12" s="35">
        <v>45890</v>
      </c>
      <c r="H12" s="35">
        <v>45891</v>
      </c>
      <c r="I12" s="70">
        <v>45892</v>
      </c>
    </row>
    <row r="13" spans="2:9" s="68" customFormat="1" ht="75" customHeight="1" x14ac:dyDescent="0.15">
      <c r="B13" s="79"/>
      <c r="C13" s="141"/>
      <c r="D13" s="140"/>
      <c r="E13" s="132"/>
      <c r="F13" s="128">
        <v>0.625</v>
      </c>
      <c r="G13" s="137"/>
      <c r="H13" s="63"/>
      <c r="I13" s="71"/>
    </row>
    <row r="14" spans="2:9" ht="25" customHeight="1" x14ac:dyDescent="0.2">
      <c r="B14" s="78"/>
      <c r="C14" s="38">
        <f t="array" ref="C14:I14">DaysAndWeeks+DATE(CalendarYear,8,1)-WEEKDAY(DATE(CalendarYear,8,1),(WeekStart="M")+1)+29</f>
        <v>45893</v>
      </c>
      <c r="D14" s="35">
        <v>45894</v>
      </c>
      <c r="E14" s="35">
        <v>45895</v>
      </c>
      <c r="F14" s="35">
        <v>45896</v>
      </c>
      <c r="G14" s="114">
        <v>45897</v>
      </c>
      <c r="H14" s="37">
        <v>45898</v>
      </c>
      <c r="I14" s="72">
        <v>45899</v>
      </c>
    </row>
    <row r="15" spans="2:9" s="68" customFormat="1" ht="75" customHeight="1" x14ac:dyDescent="0.15">
      <c r="B15" s="79"/>
      <c r="C15" s="132"/>
      <c r="D15" s="128">
        <v>0.625</v>
      </c>
      <c r="E15" s="132"/>
      <c r="F15" s="128">
        <v>0.625</v>
      </c>
      <c r="G15" s="132"/>
      <c r="H15" s="67"/>
      <c r="I15" s="73"/>
    </row>
    <row r="16" spans="2:9" ht="25" customHeight="1" x14ac:dyDescent="0.2">
      <c r="B16" s="78"/>
      <c r="C16" s="44">
        <f t="array" ref="C16:I16">DaysAndWeeks+DATE(CalendarYear,8,1)-WEEKDAY(DATE(CalendarYear,8,1),(WeekStart="M")+1)+36</f>
        <v>45900</v>
      </c>
      <c r="D16" s="37">
        <v>45901</v>
      </c>
      <c r="E16" s="37">
        <v>45902</v>
      </c>
      <c r="F16" s="37">
        <v>45903</v>
      </c>
      <c r="G16" s="37">
        <v>45904</v>
      </c>
      <c r="H16" s="37">
        <v>45905</v>
      </c>
      <c r="I16" s="72">
        <v>45906</v>
      </c>
    </row>
    <row r="17" spans="2:9" s="68" customFormat="1" ht="75" customHeight="1" x14ac:dyDescent="0.15">
      <c r="B17" s="79"/>
      <c r="C17" s="69"/>
      <c r="D17" s="67"/>
      <c r="E17" s="67"/>
      <c r="F17" s="67"/>
      <c r="G17" s="67"/>
      <c r="H17" s="67"/>
      <c r="I17" s="73"/>
    </row>
    <row r="18" spans="2:9" s="1" customFormat="1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D15 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9" sqref="J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62"/>
      <c r="G3" s="19" t="s">
        <v>29</v>
      </c>
      <c r="H3" s="19" t="s">
        <v>30</v>
      </c>
      <c r="I3" s="81"/>
    </row>
    <row r="4" spans="2:9" ht="75" customHeight="1" x14ac:dyDescent="0.65">
      <c r="B4" s="77"/>
      <c r="C4" s="146">
        <f>CalendarYear</f>
        <v>2025</v>
      </c>
      <c r="D4" s="191" t="s">
        <v>31</v>
      </c>
      <c r="E4" s="191"/>
      <c r="F4" s="191"/>
      <c r="G4" s="191"/>
      <c r="H4" s="191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44">
        <f t="array" ref="C6:I6">DaysAndWeeks+DATE(CalendarYear,9,1)-WEEKDAY(DATE(CalendarYear,9,1),(WeekStart="M")+1)+1</f>
        <v>45900</v>
      </c>
      <c r="D6" s="37">
        <v>45901</v>
      </c>
      <c r="E6" s="37">
        <v>45902</v>
      </c>
      <c r="F6" s="37">
        <v>45903</v>
      </c>
      <c r="G6" s="37">
        <v>45904</v>
      </c>
      <c r="H6" s="35">
        <v>45905</v>
      </c>
      <c r="I6" s="70">
        <v>45906</v>
      </c>
    </row>
    <row r="7" spans="2:9" s="55" customFormat="1" ht="75" customHeight="1" x14ac:dyDescent="0.15">
      <c r="B7" s="85"/>
      <c r="C7" s="58"/>
      <c r="D7" s="56"/>
      <c r="E7" s="56"/>
      <c r="F7" s="56"/>
      <c r="G7" s="142"/>
      <c r="H7" s="132">
        <v>0.625</v>
      </c>
      <c r="I7" s="86"/>
    </row>
    <row r="8" spans="2:9" s="36" customFormat="1" ht="25" customHeight="1" x14ac:dyDescent="0.2">
      <c r="B8" s="80"/>
      <c r="C8" s="38">
        <f t="array" ref="C8:I8">DaysAndWeeks+DATE(CalendarYear,9,1)-WEEKDAY(DATE(CalendarYear,9,1),(WeekStart="M")+1)+8</f>
        <v>45907</v>
      </c>
      <c r="D8" s="35">
        <v>45908</v>
      </c>
      <c r="E8" s="35">
        <v>45909</v>
      </c>
      <c r="F8" s="35">
        <v>45910</v>
      </c>
      <c r="G8" s="35">
        <v>45911</v>
      </c>
      <c r="H8" s="35">
        <v>45912</v>
      </c>
      <c r="I8" s="70">
        <v>45913</v>
      </c>
    </row>
    <row r="9" spans="2:9" s="55" customFormat="1" ht="75" customHeight="1" x14ac:dyDescent="0.15">
      <c r="B9" s="85"/>
      <c r="C9" s="135"/>
      <c r="D9" s="139"/>
      <c r="E9" s="132"/>
      <c r="F9" s="178">
        <v>0.625</v>
      </c>
      <c r="G9" s="136"/>
      <c r="H9" s="54"/>
      <c r="I9" s="86"/>
    </row>
    <row r="10" spans="2:9" s="36" customFormat="1" ht="25" customHeight="1" x14ac:dyDescent="0.2">
      <c r="B10" s="80"/>
      <c r="C10" s="38">
        <f t="array" ref="C10:I10">DaysAndWeeks+DATE(CalendarYear,9,1)-WEEKDAY(DATE(CalendarYear,9,1),(WeekStart="M")+1)+15</f>
        <v>45914</v>
      </c>
      <c r="D10" s="35">
        <v>45915</v>
      </c>
      <c r="E10" s="35">
        <v>45916</v>
      </c>
      <c r="F10" s="35">
        <v>45917</v>
      </c>
      <c r="G10" s="35">
        <v>45918</v>
      </c>
      <c r="H10" s="35">
        <v>45919</v>
      </c>
      <c r="I10" s="70">
        <v>45920</v>
      </c>
    </row>
    <row r="11" spans="2:9" s="55" customFormat="1" ht="75" customHeight="1" x14ac:dyDescent="0.15">
      <c r="B11" s="85"/>
      <c r="C11" s="132"/>
      <c r="D11" s="132">
        <v>0.625</v>
      </c>
      <c r="E11" s="132"/>
      <c r="F11" s="178">
        <v>0.625</v>
      </c>
      <c r="G11" s="132"/>
      <c r="H11" s="132">
        <v>0.625</v>
      </c>
      <c r="I11" s="86"/>
    </row>
    <row r="12" spans="2:9" s="36" customFormat="1" ht="25" customHeight="1" x14ac:dyDescent="0.2">
      <c r="B12" s="80"/>
      <c r="C12" s="38">
        <f t="array" ref="C12:I12">DaysAndWeeks+DATE(CalendarYear,9,1)-WEEKDAY(DATE(CalendarYear,9,1),(WeekStart="M")+1)+22</f>
        <v>45921</v>
      </c>
      <c r="D12" s="35">
        <v>45922</v>
      </c>
      <c r="E12" s="35">
        <v>45923</v>
      </c>
      <c r="F12" s="35">
        <v>45924</v>
      </c>
      <c r="G12" s="35">
        <v>45925</v>
      </c>
      <c r="H12" s="35">
        <v>45926</v>
      </c>
      <c r="I12" s="70">
        <v>45927</v>
      </c>
    </row>
    <row r="13" spans="2:9" s="55" customFormat="1" ht="75" customHeight="1" x14ac:dyDescent="0.15">
      <c r="B13" s="85"/>
      <c r="C13" s="135"/>
      <c r="D13" s="139"/>
      <c r="E13" s="132"/>
      <c r="F13" s="178">
        <v>0.625</v>
      </c>
      <c r="G13" s="136"/>
      <c r="H13" s="54"/>
      <c r="I13" s="86"/>
    </row>
    <row r="14" spans="2:9" s="36" customFormat="1" ht="25" customHeight="1" x14ac:dyDescent="0.2">
      <c r="B14" s="80"/>
      <c r="C14" s="38">
        <f t="array" ref="C14:I14">DaysAndWeeks+DATE(CalendarYear,9,1)-WEEKDAY(DATE(CalendarYear,9,1),(WeekStart="M")+1)+29</f>
        <v>45928</v>
      </c>
      <c r="D14" s="35">
        <v>45929</v>
      </c>
      <c r="E14" s="35">
        <v>45930</v>
      </c>
      <c r="F14" s="35">
        <v>45931</v>
      </c>
      <c r="G14" s="35">
        <v>45932</v>
      </c>
      <c r="H14" s="35">
        <v>45933</v>
      </c>
      <c r="I14" s="166">
        <v>45934</v>
      </c>
    </row>
    <row r="15" spans="2:9" s="55" customFormat="1" ht="75" customHeight="1" x14ac:dyDescent="0.15">
      <c r="B15" s="85"/>
      <c r="C15" s="132"/>
      <c r="D15" s="132">
        <v>0.625</v>
      </c>
      <c r="E15" s="132"/>
      <c r="F15" s="178">
        <v>0.625</v>
      </c>
      <c r="G15" s="132"/>
      <c r="H15" s="132">
        <v>0.625</v>
      </c>
      <c r="I15" s="165"/>
    </row>
    <row r="16" spans="2:9" s="36" customFormat="1" ht="25" customHeight="1" x14ac:dyDescent="0.2">
      <c r="B16" s="80"/>
      <c r="C16" s="44">
        <f t="array" ref="C16:I16">DaysAndWeeks+DATE(CalendarYear,9,1)-WEEKDAY(DATE(CalendarYear,9,1),(WeekStart="M")+1)+36</f>
        <v>45935</v>
      </c>
      <c r="D16" s="37">
        <v>45936</v>
      </c>
      <c r="E16" s="37">
        <v>45937</v>
      </c>
      <c r="F16" s="37">
        <v>45938</v>
      </c>
      <c r="G16" s="37">
        <v>45939</v>
      </c>
      <c r="H16" s="37">
        <v>45940</v>
      </c>
      <c r="I16" s="72">
        <v>45941</v>
      </c>
    </row>
    <row r="17" spans="2:9" s="55" customFormat="1" ht="75" customHeight="1" x14ac:dyDescent="0.15">
      <c r="B17" s="85"/>
      <c r="C17" s="58"/>
      <c r="D17" s="56"/>
      <c r="E17" s="56"/>
      <c r="F17" s="56"/>
      <c r="G17" s="56"/>
      <c r="H17" s="56"/>
      <c r="I17" s="92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D15 F15 H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6" activePane="bottomLeft" state="frozen"/>
      <selection pane="bottomLeft" activeCell="L9" sqref="L9"/>
    </sheetView>
  </sheetViews>
  <sheetFormatPr baseColWidth="10" defaultColWidth="8.625" defaultRowHeight="17" x14ac:dyDescent="0.15"/>
  <cols>
    <col min="1" max="2" width="2.625" style="34" customWidth="1"/>
    <col min="3" max="9" width="24.375" style="34" customWidth="1"/>
    <col min="10" max="16384" width="8.625" style="34"/>
  </cols>
  <sheetData>
    <row r="1" spans="2:9" ht="15" customHeight="1" thickBot="1" x14ac:dyDescent="0.2">
      <c r="C1" s="113"/>
      <c r="D1" s="113"/>
      <c r="E1" s="113"/>
      <c r="F1" s="113"/>
      <c r="G1" s="113"/>
      <c r="H1" s="113"/>
      <c r="I1" s="113"/>
    </row>
    <row r="2" spans="2:9" ht="75" customHeight="1" thickTop="1" x14ac:dyDescent="0.15">
      <c r="B2" s="78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2">
      <c r="B3" s="78"/>
      <c r="C3" s="102"/>
      <c r="D3" s="103"/>
      <c r="E3" s="103"/>
      <c r="F3" s="104"/>
      <c r="G3" s="19" t="s">
        <v>32</v>
      </c>
      <c r="H3" s="19" t="s">
        <v>33</v>
      </c>
      <c r="I3" s="110"/>
    </row>
    <row r="4" spans="2:9" ht="75" customHeight="1" x14ac:dyDescent="0.65">
      <c r="B4" s="78"/>
      <c r="C4" s="146">
        <f>CalendarYear</f>
        <v>2025</v>
      </c>
      <c r="D4" s="191" t="s">
        <v>34</v>
      </c>
      <c r="E4" s="191"/>
      <c r="F4" s="191"/>
      <c r="G4" s="191"/>
      <c r="H4" s="191"/>
      <c r="I4" s="145"/>
    </row>
    <row r="5" spans="2:9" ht="35" customHeight="1" x14ac:dyDescent="0.15">
      <c r="B5" s="78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ht="25" customHeight="1" x14ac:dyDescent="0.2">
      <c r="B6" s="78"/>
      <c r="C6" s="119">
        <f t="array" ref="C6:I6">DaysAndWeeks+DATE(CalendarYear,10,1)-WEEKDAY(DATE(CalendarYear,10,1),(WeekStart="M")+1)+1</f>
        <v>45928</v>
      </c>
      <c r="D6" s="114">
        <v>45929</v>
      </c>
      <c r="E6" s="114">
        <v>45930</v>
      </c>
      <c r="F6" s="114">
        <v>45931</v>
      </c>
      <c r="G6" s="114">
        <v>45932</v>
      </c>
      <c r="H6" s="114">
        <v>45933</v>
      </c>
      <c r="I6" s="70">
        <v>45934</v>
      </c>
    </row>
    <row r="7" spans="2:9" s="68" customFormat="1" ht="75" customHeight="1" x14ac:dyDescent="0.15">
      <c r="B7" s="79"/>
      <c r="C7" s="141"/>
      <c r="D7" s="63"/>
      <c r="E7" s="128"/>
      <c r="F7" s="128">
        <v>0.625</v>
      </c>
      <c r="G7" s="128"/>
      <c r="H7" s="63"/>
      <c r="I7" s="71"/>
    </row>
    <row r="8" spans="2:9" ht="25" customHeight="1" x14ac:dyDescent="0.2">
      <c r="B8" s="78"/>
      <c r="C8" s="38">
        <f t="array" ref="C8:I8">DaysAndWeeks+DATE(CalendarYear,10,1)-WEEKDAY(DATE(CalendarYear,10,1),(WeekStart="M")+1)+8</f>
        <v>45935</v>
      </c>
      <c r="D8" s="35">
        <v>45936</v>
      </c>
      <c r="E8" s="35">
        <v>45937</v>
      </c>
      <c r="F8" s="35">
        <v>45938</v>
      </c>
      <c r="G8" s="35">
        <v>45939</v>
      </c>
      <c r="H8" s="35">
        <v>45940</v>
      </c>
      <c r="I8" s="70">
        <v>45941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ht="25" customHeight="1" x14ac:dyDescent="0.2">
      <c r="B10" s="78"/>
      <c r="C10" s="38">
        <f t="array" ref="C10:I10">DaysAndWeeks+DATE(CalendarYear,10,1)-WEEKDAY(DATE(CalendarYear,10,1),(WeekStart="M")+1)+15</f>
        <v>45942</v>
      </c>
      <c r="D10" s="35">
        <v>45943</v>
      </c>
      <c r="E10" s="35">
        <v>45944</v>
      </c>
      <c r="F10" s="35">
        <v>45945</v>
      </c>
      <c r="G10" s="35">
        <v>45946</v>
      </c>
      <c r="H10" s="35">
        <v>45947</v>
      </c>
      <c r="I10" s="70">
        <v>45948</v>
      </c>
    </row>
    <row r="11" spans="2:9" s="68" customFormat="1" ht="75" customHeight="1" x14ac:dyDescent="0.15">
      <c r="B11" s="79"/>
      <c r="C11" s="141"/>
      <c r="D11" s="140"/>
      <c r="E11" s="128"/>
      <c r="F11" s="128">
        <v>0.625</v>
      </c>
      <c r="G11" s="137"/>
      <c r="H11" s="63"/>
      <c r="I11" s="71"/>
    </row>
    <row r="12" spans="2:9" ht="25" customHeight="1" x14ac:dyDescent="0.2">
      <c r="B12" s="78"/>
      <c r="C12" s="38">
        <f t="array" ref="C12:I12">DaysAndWeeks+DATE(CalendarYear,10,1)-WEEKDAY(DATE(CalendarYear,10,1),(WeekStart="M")+1)+22</f>
        <v>45949</v>
      </c>
      <c r="D12" s="35">
        <v>45950</v>
      </c>
      <c r="E12" s="35">
        <v>45951</v>
      </c>
      <c r="F12" s="35">
        <v>45952</v>
      </c>
      <c r="G12" s="35">
        <v>45953</v>
      </c>
      <c r="H12" s="35">
        <v>45954</v>
      </c>
      <c r="I12" s="70">
        <v>45955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77">
        <v>0.625</v>
      </c>
      <c r="I13" s="71"/>
    </row>
    <row r="14" spans="2:9" ht="25" customHeight="1" x14ac:dyDescent="0.2">
      <c r="B14" s="78"/>
      <c r="C14" s="38">
        <f t="array" ref="C14:I14">DaysAndWeeks+DATE(CalendarYear,10,1)-WEEKDAY(DATE(CalendarYear,10,1),(WeekStart="M")+1)+29</f>
        <v>45956</v>
      </c>
      <c r="D14" s="35">
        <v>45957</v>
      </c>
      <c r="E14" s="35">
        <v>45958</v>
      </c>
      <c r="F14" s="37">
        <v>45959</v>
      </c>
      <c r="G14" s="37">
        <v>45960</v>
      </c>
      <c r="H14" s="37">
        <v>45961</v>
      </c>
      <c r="I14" s="72">
        <v>45962</v>
      </c>
    </row>
    <row r="15" spans="2:9" s="111" customFormat="1" ht="75" customHeight="1" x14ac:dyDescent="0.15">
      <c r="B15" s="112"/>
      <c r="C15" s="141"/>
      <c r="D15" s="140"/>
      <c r="E15" s="128"/>
      <c r="F15" s="168"/>
      <c r="G15" s="138"/>
      <c r="H15" s="169"/>
      <c r="I15" s="170"/>
    </row>
    <row r="16" spans="2:9" ht="25" customHeight="1" x14ac:dyDescent="0.2">
      <c r="B16" s="78"/>
      <c r="C16" s="44">
        <f t="array" ref="C16:I16">DaysAndWeeks+DATE(CalendarYear,10,1)-WEEKDAY(DATE(CalendarYear,10,1),(WeekStart="M")+1)+36</f>
        <v>45963</v>
      </c>
      <c r="D16" s="37">
        <v>45964</v>
      </c>
      <c r="E16" s="37">
        <v>45965</v>
      </c>
      <c r="F16" s="37">
        <v>45966</v>
      </c>
      <c r="G16" s="37">
        <v>45967</v>
      </c>
      <c r="H16" s="37">
        <v>45968</v>
      </c>
      <c r="I16" s="37">
        <v>45969</v>
      </c>
    </row>
    <row r="17" spans="2:9" s="68" customFormat="1" ht="75" customHeight="1" x14ac:dyDescent="0.15">
      <c r="B17" s="79"/>
      <c r="C17" s="167"/>
      <c r="D17" s="67"/>
      <c r="E17" s="67"/>
      <c r="F17" s="67"/>
      <c r="G17" s="67"/>
      <c r="H17" s="67"/>
      <c r="I17" s="67"/>
    </row>
    <row r="18" spans="2:9" s="1" customFormat="1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C15:D15 F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5" sqref="J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62"/>
      <c r="G3" s="19" t="s">
        <v>35</v>
      </c>
      <c r="H3" s="19" t="s">
        <v>36</v>
      </c>
      <c r="I3" s="81"/>
    </row>
    <row r="4" spans="2:9" ht="75" customHeight="1" x14ac:dyDescent="0.65">
      <c r="B4" s="77"/>
      <c r="C4" s="146">
        <f>CalendarYear</f>
        <v>2025</v>
      </c>
      <c r="D4" s="192" t="s">
        <v>37</v>
      </c>
      <c r="E4" s="192"/>
      <c r="F4" s="192"/>
      <c r="G4" s="192"/>
      <c r="H4" s="192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DaysAndWeeks+DATE(CalendarYear,11,1)-WEEKDAY(DATE(CalendarYear,11,1),(WeekStart="M")+1)+1</f>
        <v>45956</v>
      </c>
      <c r="D6" s="37">
        <v>45957</v>
      </c>
      <c r="E6" s="37">
        <v>45958</v>
      </c>
      <c r="F6" s="35">
        <v>45959</v>
      </c>
      <c r="G6" s="35">
        <v>45960</v>
      </c>
      <c r="H6" s="35">
        <v>45961</v>
      </c>
      <c r="I6" s="70">
        <v>45962</v>
      </c>
    </row>
    <row r="7" spans="2:9" s="68" customFormat="1" ht="75" customHeight="1" x14ac:dyDescent="0.15">
      <c r="B7" s="79"/>
      <c r="C7" s="69"/>
      <c r="D7" s="67"/>
      <c r="E7" s="151"/>
      <c r="F7" s="128">
        <v>0.625</v>
      </c>
      <c r="G7" s="137"/>
      <c r="H7" s="63"/>
      <c r="I7" s="71"/>
    </row>
    <row r="8" spans="2:9" s="34" customFormat="1" ht="25" customHeight="1" x14ac:dyDescent="0.2">
      <c r="B8" s="78"/>
      <c r="C8" s="38">
        <f t="array" ref="C8:I8">DaysAndWeeks+DATE(CalendarYear,11,1)-WEEKDAY(DATE(CalendarYear,11,1),(WeekStart="M")+1)+8</f>
        <v>45963</v>
      </c>
      <c r="D8" s="35">
        <v>45964</v>
      </c>
      <c r="E8" s="114">
        <v>45965</v>
      </c>
      <c r="F8" s="35">
        <v>45966</v>
      </c>
      <c r="G8" s="35">
        <v>45967</v>
      </c>
      <c r="H8" s="35">
        <v>45968</v>
      </c>
      <c r="I8" s="70">
        <v>45969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s="34" customFormat="1" ht="25" customHeight="1" x14ac:dyDescent="0.2">
      <c r="B10" s="78"/>
      <c r="C10" s="38">
        <f t="array" ref="C10:I10">DaysAndWeeks+DATE(CalendarYear,11,1)-WEEKDAY(DATE(CalendarYear,11,1),(WeekStart="M")+1)+15</f>
        <v>45970</v>
      </c>
      <c r="D10" s="35">
        <v>45971</v>
      </c>
      <c r="E10" s="114">
        <v>45972</v>
      </c>
      <c r="F10" s="35">
        <v>45973</v>
      </c>
      <c r="G10" s="35">
        <v>45974</v>
      </c>
      <c r="H10" s="35">
        <v>45975</v>
      </c>
      <c r="I10" s="70">
        <v>45976</v>
      </c>
    </row>
    <row r="11" spans="2:9" s="68" customFormat="1" ht="75" customHeight="1" x14ac:dyDescent="0.15">
      <c r="B11" s="79"/>
      <c r="C11" s="141"/>
      <c r="D11" s="140"/>
      <c r="E11" s="128"/>
      <c r="F11" s="140" t="s">
        <v>41</v>
      </c>
      <c r="G11" s="137"/>
      <c r="H11" s="63"/>
      <c r="I11" s="71"/>
    </row>
    <row r="12" spans="2:9" s="34" customFormat="1" ht="25" customHeight="1" x14ac:dyDescent="0.2">
      <c r="B12" s="78"/>
      <c r="C12" s="38">
        <f t="array" ref="C12:I12">DaysAndWeeks+DATE(CalendarYear,11,1)-WEEKDAY(DATE(CalendarYear,11,1),(WeekStart="M")+1)+22</f>
        <v>45977</v>
      </c>
      <c r="D12" s="35">
        <v>45978</v>
      </c>
      <c r="E12" s="114">
        <v>45979</v>
      </c>
      <c r="F12" s="35">
        <v>45980</v>
      </c>
      <c r="G12" s="35">
        <v>45981</v>
      </c>
      <c r="H12" s="35">
        <v>45982</v>
      </c>
      <c r="I12" s="70">
        <v>45983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28">
        <v>0.625</v>
      </c>
      <c r="I13" s="71"/>
    </row>
    <row r="14" spans="2:9" s="34" customFormat="1" ht="25" customHeight="1" x14ac:dyDescent="0.2">
      <c r="B14" s="78"/>
      <c r="C14" s="38">
        <f t="array" ref="C14:I14">DaysAndWeeks+DATE(CalendarYear,11,1)-WEEKDAY(DATE(CalendarYear,11,1),(WeekStart="M")+1)+29</f>
        <v>45984</v>
      </c>
      <c r="D14" s="35">
        <v>45985</v>
      </c>
      <c r="E14" s="114">
        <v>45986</v>
      </c>
      <c r="F14" s="35">
        <v>45987</v>
      </c>
      <c r="G14" s="148">
        <v>45988</v>
      </c>
      <c r="H14" s="37">
        <v>45989</v>
      </c>
      <c r="I14" s="72">
        <v>45990</v>
      </c>
    </row>
    <row r="15" spans="2:9" s="68" customFormat="1" ht="75" customHeight="1" x14ac:dyDescent="0.15">
      <c r="B15" s="79"/>
      <c r="C15" s="141"/>
      <c r="D15" s="140"/>
      <c r="E15" s="128"/>
      <c r="F15" s="177">
        <v>0.625</v>
      </c>
      <c r="G15" s="164"/>
      <c r="H15" s="67"/>
      <c r="I15" s="73"/>
    </row>
    <row r="16" spans="2:9" s="34" customFormat="1" ht="25" customHeight="1" x14ac:dyDescent="0.2">
      <c r="B16" s="78"/>
      <c r="C16" s="66">
        <f t="array" ref="C16:I16">DaysAndWeeks+DATE(CalendarYear,11,1)-WEEKDAY(DATE(CalendarYear,11,1),(WeekStart="M")+1)+36</f>
        <v>45991</v>
      </c>
      <c r="D16" s="37">
        <v>45992</v>
      </c>
      <c r="E16" s="37">
        <v>45993</v>
      </c>
      <c r="F16" s="37">
        <v>45994</v>
      </c>
      <c r="G16" s="37">
        <v>45995</v>
      </c>
      <c r="H16" s="37">
        <v>45996</v>
      </c>
      <c r="I16" s="72">
        <v>45997</v>
      </c>
    </row>
    <row r="17" spans="2:9" s="68" customFormat="1" ht="75" customHeight="1" x14ac:dyDescent="0.15">
      <c r="B17" s="79"/>
      <c r="C17" s="106"/>
      <c r="D17" s="67"/>
      <c r="E17" s="67"/>
      <c r="F17" s="67"/>
      <c r="G17" s="67"/>
      <c r="H17" s="67"/>
      <c r="I17" s="73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C15:D15 F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1" zoomScaleNormal="100" workbookViewId="0">
      <pane ySplit="5" topLeftCell="A6" activePane="bottomLeft" state="frozen"/>
      <selection pane="bottomLeft" activeCell="C4" sqref="C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80" t="s">
        <v>0</v>
      </c>
      <c r="D2" s="180"/>
      <c r="E2" s="180"/>
      <c r="F2" s="180"/>
      <c r="G2" s="180"/>
      <c r="H2" s="180"/>
      <c r="I2" s="181"/>
    </row>
    <row r="3" spans="2:9" ht="20" customHeight="1" x14ac:dyDescent="0.3">
      <c r="B3" s="77"/>
      <c r="C3" s="60"/>
      <c r="D3" s="61"/>
      <c r="E3" s="61"/>
      <c r="F3" s="62"/>
      <c r="G3" s="19" t="s">
        <v>38</v>
      </c>
      <c r="H3" s="19" t="s">
        <v>39</v>
      </c>
      <c r="I3" s="81"/>
    </row>
    <row r="4" spans="2:9" ht="75" customHeight="1" x14ac:dyDescent="0.65">
      <c r="B4" s="77"/>
      <c r="C4" s="146">
        <f>CalendarYear</f>
        <v>2025</v>
      </c>
      <c r="D4" s="192" t="s">
        <v>40</v>
      </c>
      <c r="E4" s="192"/>
      <c r="F4" s="192"/>
      <c r="G4" s="192"/>
      <c r="H4" s="192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DaysAndWeeks+DATE(CalendarYear,12,1)-WEEKDAY(DATE(CalendarYear,12,1),(WeekStart="M")+1)+1</f>
        <v>45991</v>
      </c>
      <c r="D6" s="37">
        <v>45992</v>
      </c>
      <c r="E6" s="37">
        <v>45993</v>
      </c>
      <c r="F6" s="37">
        <v>45994</v>
      </c>
      <c r="G6" s="37">
        <v>45995</v>
      </c>
      <c r="H6" s="35">
        <v>45996</v>
      </c>
      <c r="I6" s="70">
        <v>45997</v>
      </c>
    </row>
    <row r="7" spans="2:9" s="68" customFormat="1" ht="75" customHeight="1" x14ac:dyDescent="0.15">
      <c r="B7" s="79"/>
      <c r="C7" s="69"/>
      <c r="D7" s="67"/>
      <c r="E7" s="67"/>
      <c r="F7" s="67"/>
      <c r="G7" s="151"/>
      <c r="H7" s="63"/>
      <c r="I7" s="71"/>
    </row>
    <row r="8" spans="2:9" s="34" customFormat="1" ht="25" customHeight="1" x14ac:dyDescent="0.2">
      <c r="B8" s="78"/>
      <c r="C8" s="38">
        <f t="array" ref="C8:I8">DaysAndWeeks+DATE(CalendarYear,12,1)-WEEKDAY(DATE(CalendarYear,12,1),(WeekStart="M")+1)+8</f>
        <v>45998</v>
      </c>
      <c r="D8" s="35">
        <v>45999</v>
      </c>
      <c r="E8" s="38">
        <v>46000</v>
      </c>
      <c r="F8" s="35">
        <v>46001</v>
      </c>
      <c r="G8" s="35">
        <v>46002</v>
      </c>
      <c r="H8" s="35">
        <v>46003</v>
      </c>
      <c r="I8" s="70">
        <v>46004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s="34" customFormat="1" ht="25" customHeight="1" x14ac:dyDescent="0.2">
      <c r="B10" s="78"/>
      <c r="C10" s="38">
        <f t="array" ref="C10:I10">DaysAndWeeks+DATE(CalendarYear,12,1)-WEEKDAY(DATE(CalendarYear,12,1),(WeekStart="M")+1)+15</f>
        <v>46005</v>
      </c>
      <c r="D10" s="35">
        <v>46006</v>
      </c>
      <c r="E10" s="35">
        <v>46007</v>
      </c>
      <c r="F10" s="35">
        <v>46008</v>
      </c>
      <c r="G10" s="35">
        <v>46009</v>
      </c>
      <c r="H10" s="35">
        <v>46010</v>
      </c>
      <c r="I10" s="70">
        <v>46011</v>
      </c>
    </row>
    <row r="11" spans="2:9" s="68" customFormat="1" ht="75" customHeight="1" x14ac:dyDescent="0.15">
      <c r="B11" s="79"/>
      <c r="C11" s="141"/>
      <c r="D11" s="140"/>
      <c r="E11" s="128"/>
      <c r="F11" s="128">
        <v>0.625</v>
      </c>
      <c r="G11" s="137"/>
      <c r="H11" s="63"/>
      <c r="I11" s="71"/>
    </row>
    <row r="12" spans="2:9" s="34" customFormat="1" ht="25" customHeight="1" x14ac:dyDescent="0.2">
      <c r="B12" s="78"/>
      <c r="C12" s="38">
        <f t="array" ref="C12:I12">DaysAndWeeks+DATE(CalendarYear,12,1)-WEEKDAY(DATE(CalendarYear,12,1),(WeekStart="M")+1)+22</f>
        <v>46012</v>
      </c>
      <c r="D12" s="35">
        <v>46013</v>
      </c>
      <c r="E12" s="35">
        <v>46014</v>
      </c>
      <c r="F12" s="35">
        <v>46015</v>
      </c>
      <c r="G12" s="35">
        <v>46016</v>
      </c>
      <c r="H12" s="35">
        <v>46017</v>
      </c>
      <c r="I12" s="70">
        <v>46018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28">
        <v>0.625</v>
      </c>
      <c r="I13" s="71"/>
    </row>
    <row r="14" spans="2:9" s="34" customFormat="1" ht="25" customHeight="1" x14ac:dyDescent="0.2">
      <c r="B14" s="78"/>
      <c r="C14" s="38">
        <f t="array" ref="C14:I14">DaysAndWeeks+DATE(CalendarYear,12,1)-WEEKDAY(DATE(CalendarYear,12,1),(WeekStart="M")+1)+29</f>
        <v>46019</v>
      </c>
      <c r="D14" s="35">
        <v>46020</v>
      </c>
      <c r="E14" s="35">
        <v>46021</v>
      </c>
      <c r="F14" s="35">
        <v>46022</v>
      </c>
      <c r="G14" s="35">
        <v>46023</v>
      </c>
      <c r="H14" s="35">
        <v>46024</v>
      </c>
      <c r="I14" s="70">
        <v>46025</v>
      </c>
    </row>
    <row r="15" spans="2:9" s="68" customFormat="1" ht="75" customHeight="1" x14ac:dyDescent="0.15">
      <c r="B15" s="79"/>
      <c r="C15" s="141"/>
      <c r="D15" s="140"/>
      <c r="E15" s="128"/>
      <c r="F15" s="128">
        <v>0.625</v>
      </c>
      <c r="G15" s="137"/>
      <c r="H15" s="63"/>
      <c r="I15" s="71"/>
    </row>
    <row r="16" spans="2:9" s="34" customFormat="1" ht="25" customHeight="1" x14ac:dyDescent="0.2">
      <c r="B16" s="78"/>
      <c r="C16" s="119">
        <f t="array" ref="C16:I16">DaysAndWeeks+DATE(CalendarYear,12,1)-WEEKDAY(DATE(CalendarYear,12,1),(WeekStart="M")+1)+36</f>
        <v>46026</v>
      </c>
      <c r="D16" s="37">
        <v>46027</v>
      </c>
      <c r="E16" s="66">
        <v>46028</v>
      </c>
      <c r="F16" s="37">
        <v>46029</v>
      </c>
      <c r="G16" s="37">
        <v>46030</v>
      </c>
      <c r="H16" s="66">
        <v>46031</v>
      </c>
      <c r="I16" s="72">
        <v>46032</v>
      </c>
    </row>
    <row r="17" spans="2:9" s="68" customFormat="1" ht="75" customHeight="1" x14ac:dyDescent="0.15">
      <c r="B17" s="79"/>
      <c r="C17" s="128"/>
      <c r="D17" s="67"/>
      <c r="E17" s="106"/>
      <c r="F17" s="67"/>
      <c r="G17" s="67"/>
      <c r="H17" s="106"/>
      <c r="I17" s="73"/>
    </row>
    <row r="18" spans="2:9" ht="125" customHeight="1" thickBot="1" x14ac:dyDescent="0.2">
      <c r="B18" s="77"/>
      <c r="C18" s="182" t="s">
        <v>7</v>
      </c>
      <c r="D18" s="183"/>
      <c r="E18" s="183"/>
      <c r="F18" s="183"/>
      <c r="G18" s="183"/>
      <c r="H18" s="183"/>
      <c r="I18" s="184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C15:D15 F15:I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9E89F-E0F7-4EA5-B004-DCB6817900CE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2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2025-02-19T20:50:37Z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