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cmahanna/Downloads/"/>
    </mc:Choice>
  </mc:AlternateContent>
  <xr:revisionPtr revIDLastSave="0" documentId="8_{3B5C54CF-4DDE-8A41-AE5F-82AF7AF9735F}" xr6:coauthVersionLast="47" xr6:coauthVersionMax="47" xr10:uidLastSave="{00000000-0000-0000-0000-000000000000}"/>
  <bookViews>
    <workbookView xWindow="1580" yWindow="760" windowWidth="32060" windowHeight="2020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6" i="3"/>
  <c r="F5" i="3" s="1"/>
  <c r="C6" i="12"/>
  <c r="F6" i="12"/>
  <c r="F5" i="12" s="1"/>
  <c r="H16" i="3"/>
  <c r="G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D16" i="11" s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 s="1"/>
  <c r="C16" i="4" a="1"/>
  <c r="C6" i="2" a="1"/>
  <c r="C8" i="5" a="1"/>
  <c r="C16" i="5" a="1"/>
  <c r="C16" i="9" a="1"/>
  <c r="C12" i="10" a="1"/>
  <c r="C14" i="11" a="1"/>
  <c r="H14" i="11" s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C10" i="11"/>
  <c r="C12" i="9" l="1"/>
  <c r="F12" i="9"/>
  <c r="E16" i="11"/>
  <c r="F16" i="11"/>
  <c r="G16" i="11"/>
  <c r="H16" i="11"/>
  <c r="E16" i="3"/>
  <c r="D14" i="3"/>
  <c r="H14" i="3"/>
  <c r="I14" i="3"/>
  <c r="F14" i="3"/>
  <c r="F14" i="11"/>
  <c r="D10" i="11"/>
  <c r="C6" i="7"/>
  <c r="D6" i="7"/>
  <c r="D5" i="7" s="1"/>
  <c r="E6" i="3"/>
  <c r="E5" i="3" s="1"/>
  <c r="E14" i="4"/>
  <c r="G14" i="4"/>
  <c r="H14" i="4"/>
  <c r="G14" i="3"/>
  <c r="E6" i="11"/>
  <c r="E5" i="11" s="1"/>
  <c r="C12" i="11"/>
  <c r="E14" i="11"/>
  <c r="E10" i="11"/>
  <c r="G10" i="11"/>
  <c r="G14" i="7"/>
  <c r="H10" i="11"/>
  <c r="H14" i="7"/>
  <c r="H8" i="11"/>
  <c r="I10" i="11"/>
  <c r="E6" i="10"/>
  <c r="E5" i="10" s="1"/>
  <c r="E12" i="11"/>
  <c r="H6" i="3"/>
  <c r="H5" i="3" s="1"/>
  <c r="F12" i="11"/>
  <c r="D12" i="11"/>
  <c r="C14" i="11"/>
  <c r="I6" i="12"/>
  <c r="I5" i="12" s="1"/>
  <c r="F14" i="13"/>
  <c r="G14" i="11"/>
  <c r="F6" i="7"/>
  <c r="F5" i="7" s="1"/>
  <c r="E6" i="7"/>
  <c r="E5" i="7" s="1"/>
  <c r="E16" i="6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<sst xmlns="http://schemas.openxmlformats.org/spreadsheetml/2006/main" count="62" uniqueCount="40">
  <si>
    <t>50/50 Alternating Weeks Parenting Schedule</t>
  </si>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</sst>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2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207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9" xfId="0" applyFont="1" applyBorder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0" borderId="12" xfId="0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26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left" vertical="top" wrapTex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8" fontId="33" fillId="0" borderId="9" xfId="11" applyNumberFormat="1" applyFont="1" applyBorder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5" xfId="11" applyFont="1" applyFill="1" applyBorder="1">
      <alignment horizontal="left" vertical="top" wrapText="1" inden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2" xfId="11" applyFont="1" applyBorder="1" applyAlignment="1">
      <alignment horizontal="left" vertical="top" wrapTex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0" fontId="33" fillId="0" borderId="0" xfId="11" applyFont="1" applyBorder="1" applyAlignment="1">
      <alignment horizontal="left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NumberFormat="1" applyFont="1" applyFill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9" fontId="11" fillId="0" borderId="24" xfId="11" applyNumberFormat="1" applyFont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65" fontId="11" fillId="0" borderId="11" xfId="0" applyNumberFormat="1" applyFont="1" applyBorder="1" applyAlignment="1">
      <alignment horizontal="center" vertical="top" wrapText="1"/>
    </xf>
    <xf numFmtId="18" fontId="33" fillId="7" borderId="9" xfId="11" applyNumberFormat="1" applyFont="1" applyFill="1" applyBorder="1" applyAlignment="1">
      <alignment horizontal="center" vertical="top" wrapText="1"/>
    </xf>
    <xf numFmtId="164" fontId="27" fillId="5" borderId="25" xfId="4" applyFont="1" applyFill="1" applyBorder="1">
      <alignment horizontal="left" indent="1"/>
    </xf>
    <xf numFmtId="164" fontId="27" fillId="5" borderId="14" xfId="4" applyFont="1" applyFill="1" applyBorder="1">
      <alignment horizontal="left" indent="1"/>
    </xf>
    <xf numFmtId="0" fontId="33" fillId="5" borderId="24" xfId="11" applyFont="1" applyFill="1" applyBorder="1" applyAlignment="1">
      <alignment horizontal="left" vertical="top" wrapText="1"/>
    </xf>
    <xf numFmtId="0" fontId="33" fillId="5" borderId="16" xfId="11" applyFont="1" applyFill="1" applyBorder="1" applyAlignment="1">
      <alignment horizontal="left" vertical="top" wrapText="1"/>
    </xf>
    <xf numFmtId="0" fontId="13" fillId="5" borderId="24" xfId="11" applyFont="1" applyFill="1" applyBorder="1">
      <alignment horizontal="left" vertical="top" wrapText="1" indent="1"/>
    </xf>
    <xf numFmtId="164" fontId="30" fillId="5" borderId="8" xfId="4" applyFont="1" applyFill="1" applyBorder="1">
      <alignment horizontal="left" indent="1"/>
    </xf>
    <xf numFmtId="0" fontId="34" fillId="5" borderId="9" xfId="11" applyFont="1" applyFill="1" applyBorder="1" applyAlignment="1">
      <alignment horizontal="left" vertical="top" wrapText="1"/>
    </xf>
    <xf numFmtId="0" fontId="33" fillId="5" borderId="9" xfId="11" applyFont="1" applyFill="1" applyBorder="1" applyAlignment="1">
      <alignment horizontal="left" vertical="top" wrapText="1"/>
    </xf>
    <xf numFmtId="18" fontId="11" fillId="7" borderId="9" xfId="11" applyNumberFormat="1" applyFont="1" applyFill="1" applyBorder="1" applyAlignment="1">
      <alignment horizontal="center" vertical="top" wrapText="1"/>
    </xf>
    <xf numFmtId="0" fontId="13" fillId="7" borderId="12" xfId="11" applyFont="1" applyFill="1" applyBorder="1" applyAlignment="1">
      <alignment horizontal="left" vertical="top" wrapText="1"/>
    </xf>
    <xf numFmtId="0" fontId="13" fillId="7" borderId="0" xfId="0" applyFont="1" applyFill="1">
      <alignment horizontal="left" vertical="top" wrapText="1" indent="1"/>
    </xf>
    <xf numFmtId="0" fontId="33" fillId="5" borderId="12" xfId="11" applyFont="1" applyFill="1" applyBorder="1" applyAlignment="1">
      <alignment horizontal="left" vertical="top" wrapText="1"/>
    </xf>
    <xf numFmtId="19" fontId="33" fillId="5" borderId="9" xfId="11" applyNumberFormat="1" applyFont="1" applyFill="1" applyBorder="1" applyAlignment="1">
      <alignment horizontal="center" vertical="top" wrapText="1"/>
    </xf>
    <xf numFmtId="164" fontId="27" fillId="7" borderId="0" xfId="4" applyFont="1" applyFill="1" applyBorder="1">
      <alignment horizontal="left" indent="1"/>
    </xf>
    <xf numFmtId="164" fontId="27" fillId="7" borderId="12" xfId="4" applyFont="1" applyFill="1" applyBorder="1">
      <alignment horizontal="left" indent="1"/>
    </xf>
    <xf numFmtId="18" fontId="11" fillId="7" borderId="30" xfId="11" applyNumberFormat="1" applyFont="1" applyFill="1" applyBorder="1" applyAlignment="1">
      <alignment horizontal="center" vertical="top" wrapText="1"/>
    </xf>
    <xf numFmtId="18" fontId="11" fillId="7" borderId="9" xfId="11" applyNumberFormat="1" applyFont="1" applyFill="1" applyBorder="1" applyAlignment="1">
      <alignment horizontal="left" vertical="top" wrapText="1"/>
    </xf>
    <xf numFmtId="19" fontId="33" fillId="7" borderId="9" xfId="11" applyNumberFormat="1" applyFont="1" applyFill="1" applyBorder="1" applyAlignment="1">
      <alignment horizontal="center" vertical="top" wrapText="1"/>
    </xf>
    <xf numFmtId="19" fontId="11" fillId="7" borderId="9" xfId="11" applyNumberFormat="1" applyFont="1" applyFill="1" applyBorder="1" applyAlignment="1">
      <alignment horizontal="center" vertical="top" wrapText="1"/>
    </xf>
    <xf numFmtId="0" fontId="11" fillId="7" borderId="9" xfId="11" applyFont="1" applyFill="1" applyBorder="1" applyAlignment="1">
      <alignment horizontal="left" vertical="top" wrapText="1"/>
    </xf>
    <xf numFmtId="164" fontId="27" fillId="5" borderId="15" xfId="4" applyFont="1" applyFill="1" applyBorder="1">
      <alignment horizontal="left" indent="1"/>
    </xf>
    <xf numFmtId="0" fontId="11" fillId="5" borderId="9" xfId="11" applyFont="1" applyFill="1" applyBorder="1" applyAlignment="1">
      <alignment horizontal="left" vertical="top" wrapText="1"/>
    </xf>
    <xf numFmtId="0" fontId="11" fillId="5" borderId="16" xfId="11" applyFont="1" applyFill="1" applyBorder="1" applyAlignment="1">
      <alignment horizontal="left" vertical="top" wrapText="1"/>
    </xf>
    <xf numFmtId="164" fontId="27" fillId="5" borderId="0" xfId="4" applyFont="1" applyFill="1" applyBorder="1">
      <alignment horizontal="left" indent="1"/>
    </xf>
    <xf numFmtId="0" fontId="33" fillId="5" borderId="0" xfId="11" applyFont="1" applyFill="1" applyBorder="1" applyAlignment="1">
      <alignment horizontal="left" vertical="top" wrapText="1"/>
    </xf>
    <xf numFmtId="18" fontId="33" fillId="5" borderId="9" xfId="11" applyNumberFormat="1" applyFont="1" applyFill="1" applyBorder="1" applyAlignment="1">
      <alignment horizontal="center" vertical="top" wrapText="1"/>
    </xf>
    <xf numFmtId="19" fontId="33" fillId="7" borderId="24" xfId="11" applyNumberFormat="1" applyFont="1" applyFill="1" applyBorder="1" applyAlignment="1">
      <alignment horizontal="center" vertical="top" wrapText="1"/>
    </xf>
    <xf numFmtId="0" fontId="33" fillId="7" borderId="16" xfId="0" applyFont="1" applyFill="1" applyBorder="1" applyAlignment="1">
      <alignment horizontal="left" vertical="top" wrapText="1"/>
    </xf>
    <xf numFmtId="164" fontId="23" fillId="7" borderId="8" xfId="4" applyFont="1" applyFill="1" applyBorder="1">
      <alignment horizontal="left" indent="1"/>
    </xf>
    <xf numFmtId="0" fontId="11" fillId="7" borderId="9" xfId="11" applyFont="1" applyFill="1" applyBorder="1" applyAlignment="1">
      <alignment horizontal="center" vertical="top" wrapText="1"/>
    </xf>
    <xf numFmtId="18" fontId="33" fillId="5" borderId="24" xfId="11" applyNumberFormat="1" applyFont="1" applyFill="1" applyBorder="1" applyAlignment="1">
      <alignment horizontal="center" vertical="top" wrapText="1"/>
    </xf>
    <xf numFmtId="19" fontId="11" fillId="7" borderId="24" xfId="11" applyNumberFormat="1" applyFont="1" applyFill="1" applyBorder="1" applyAlignment="1">
      <alignment horizontal="center" vertical="top" wrapText="1"/>
    </xf>
    <xf numFmtId="0" fontId="11" fillId="7" borderId="9" xfId="11" applyFont="1" applyFill="1" applyBorder="1">
      <alignment horizontal="left" vertical="top" wrapText="1" indent="1"/>
    </xf>
    <xf numFmtId="0" fontId="11" fillId="7" borderId="16" xfId="11" applyFont="1" applyFill="1" applyBorder="1">
      <alignment horizontal="left" vertical="top" wrapText="1" indent="1"/>
    </xf>
    <xf numFmtId="0" fontId="11" fillId="5" borderId="24" xfId="11" applyFont="1" applyFill="1" applyBorder="1" applyAlignment="1">
      <alignment horizontal="left" vertical="top" wrapText="1"/>
    </xf>
    <xf numFmtId="0" fontId="11" fillId="7" borderId="16" xfId="11" applyFont="1" applyFill="1" applyBorder="1" applyAlignment="1">
      <alignment horizontal="left" vertical="top" wrapText="1"/>
    </xf>
    <xf numFmtId="164" fontId="23" fillId="7" borderId="13" xfId="4" applyFont="1" applyFill="1" applyBorder="1">
      <alignment horizontal="left" indent="1"/>
    </xf>
    <xf numFmtId="164" fontId="23" fillId="7" borderId="14" xfId="4" applyFont="1" applyFill="1" applyBorder="1">
      <alignment horizontal="left" indent="1"/>
    </xf>
    <xf numFmtId="18" fontId="11" fillId="7" borderId="9" xfId="0" applyNumberFormat="1" applyFont="1" applyFill="1" applyBorder="1" applyAlignment="1">
      <alignment horizontal="center" vertical="top" wrapText="1"/>
    </xf>
    <xf numFmtId="0" fontId="12" fillId="7" borderId="9" xfId="0" applyFont="1" applyFill="1" applyBorder="1">
      <alignment horizontal="left" vertical="top" wrapText="1" indent="1"/>
    </xf>
    <xf numFmtId="0" fontId="12" fillId="7" borderId="16" xfId="0" applyFont="1" applyFill="1" applyBorder="1">
      <alignment horizontal="left" vertical="top" wrapText="1" indent="1"/>
    </xf>
    <xf numFmtId="18" fontId="11" fillId="7" borderId="17" xfId="11" applyNumberFormat="1" applyFont="1" applyFill="1" applyBorder="1" applyAlignment="1">
      <alignment horizontal="center" vertical="top" wrapText="1"/>
    </xf>
    <xf numFmtId="164" fontId="12" fillId="7" borderId="12" xfId="4" applyFont="1" applyFill="1" applyBorder="1">
      <alignment horizontal="left" inden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E8390"/>
      <color rgb="FFCFAA49"/>
      <color rgb="FFD9D9D9"/>
      <color rgb="FF8FC6E2"/>
      <color rgb="FF172743"/>
      <color rgb="FF605D71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eo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1168400</xdr:colOff>
      <xdr:row>8</xdr:row>
      <xdr:rowOff>189948</xdr:rowOff>
    </xdr:from>
    <xdr:to>
      <xdr:col>9</xdr:col>
      <xdr:colOff>17116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313000-F0F1-F149-AE0A-3EE9547FDB81}"/>
            </a:ext>
          </a:extLst>
        </xdr:cNvPr>
        <xdr:cNvSpPr txBox="1"/>
      </xdr:nvSpPr>
      <xdr:spPr>
        <a:xfrm>
          <a:off x="4178300" y="4571448"/>
          <a:ext cx="13707716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10</xdr:row>
      <xdr:rowOff>178354</xdr:rowOff>
    </xdr:from>
    <xdr:to>
      <xdr:col>8</xdr:col>
      <xdr:colOff>2463800</xdr:colOff>
      <xdr:row>10</xdr:row>
      <xdr:rowOff>495854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93A8F89-1B84-614F-9E5C-779B67B80666}"/>
            </a:ext>
          </a:extLst>
        </xdr:cNvPr>
        <xdr:cNvSpPr txBox="1"/>
      </xdr:nvSpPr>
      <xdr:spPr>
        <a:xfrm>
          <a:off x="4191000" y="5829854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12</xdr:row>
      <xdr:rowOff>164548</xdr:rowOff>
    </xdr:from>
    <xdr:to>
      <xdr:col>8</xdr:col>
      <xdr:colOff>2463800</xdr:colOff>
      <xdr:row>12</xdr:row>
      <xdr:rowOff>482047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928AB72-8DEC-B44F-9166-5B5552CA98D8}"/>
            </a:ext>
          </a:extLst>
        </xdr:cNvPr>
        <xdr:cNvSpPr txBox="1"/>
      </xdr:nvSpPr>
      <xdr:spPr>
        <a:xfrm>
          <a:off x="4191000" y="7086048"/>
          <a:ext cx="13665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14</xdr:row>
      <xdr:rowOff>179458</xdr:rowOff>
    </xdr:from>
    <xdr:to>
      <xdr:col>6</xdr:col>
      <xdr:colOff>12700</xdr:colOff>
      <xdr:row>14</xdr:row>
      <xdr:rowOff>496957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4191000" y="8370958"/>
          <a:ext cx="626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8</xdr:row>
      <xdr:rowOff>186267</xdr:rowOff>
    </xdr:from>
    <xdr:to>
      <xdr:col>3</xdr:col>
      <xdr:colOff>1257301</xdr:colOff>
      <xdr:row>8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46101" y="4567767"/>
          <a:ext cx="3721100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10</xdr:row>
      <xdr:rowOff>177800</xdr:rowOff>
    </xdr:from>
    <xdr:to>
      <xdr:col>3</xdr:col>
      <xdr:colOff>1181100</xdr:colOff>
      <xdr:row>10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3C9AFA-9B4A-EB4E-A19C-7AA86AF38E57}"/>
            </a:ext>
          </a:extLst>
        </xdr:cNvPr>
        <xdr:cNvSpPr txBox="1"/>
      </xdr:nvSpPr>
      <xdr:spPr>
        <a:xfrm>
          <a:off x="546101" y="5829300"/>
          <a:ext cx="36448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12</xdr:row>
      <xdr:rowOff>160867</xdr:rowOff>
    </xdr:from>
    <xdr:to>
      <xdr:col>3</xdr:col>
      <xdr:colOff>1193800</xdr:colOff>
      <xdr:row>12</xdr:row>
      <xdr:rowOff>482600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533401" y="7082367"/>
          <a:ext cx="3670299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25401</xdr:colOff>
      <xdr:row>14</xdr:row>
      <xdr:rowOff>177800</xdr:rowOff>
    </xdr:from>
    <xdr:to>
      <xdr:col>3</xdr:col>
      <xdr:colOff>1181101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458F8-F431-0247-B01A-DD11D15F77A8}"/>
            </a:ext>
          </a:extLst>
        </xdr:cNvPr>
        <xdr:cNvSpPr txBox="1"/>
      </xdr:nvSpPr>
      <xdr:spPr>
        <a:xfrm>
          <a:off x="558801" y="8369300"/>
          <a:ext cx="363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6</xdr:row>
      <xdr:rowOff>177248</xdr:rowOff>
    </xdr:from>
    <xdr:to>
      <xdr:col>8</xdr:col>
      <xdr:colOff>2463800</xdr:colOff>
      <xdr:row>6</xdr:row>
      <xdr:rowOff>494748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B90369C-147D-854A-8863-D2115F887B70}"/>
            </a:ext>
          </a:extLst>
        </xdr:cNvPr>
        <xdr:cNvSpPr txBox="1"/>
      </xdr:nvSpPr>
      <xdr:spPr>
        <a:xfrm>
          <a:off x="4191000" y="3288748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</xdr:colOff>
      <xdr:row>6</xdr:row>
      <xdr:rowOff>177800</xdr:rowOff>
    </xdr:from>
    <xdr:to>
      <xdr:col>3</xdr:col>
      <xdr:colOff>1181099</xdr:colOff>
      <xdr:row>6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ACD5EBC-6819-A24A-BA2B-3769D1EB0B7C}"/>
            </a:ext>
          </a:extLst>
        </xdr:cNvPr>
        <xdr:cNvSpPr txBox="1"/>
      </xdr:nvSpPr>
      <xdr:spPr>
        <a:xfrm>
          <a:off x="3022600" y="3289300"/>
          <a:ext cx="11683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2166624</xdr:colOff>
      <xdr:row>1</xdr:row>
      <xdr:rowOff>629559</xdr:rowOff>
    </xdr:from>
    <xdr:to>
      <xdr:col>8</xdr:col>
      <xdr:colOff>2138032</xdr:colOff>
      <xdr:row>3</xdr:row>
      <xdr:rowOff>589469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F49160-5D98-DC45-A8D3-3685B808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2524" y="820059"/>
          <a:ext cx="2447908" cy="116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17117</xdr:colOff>
      <xdr:row>6</xdr:row>
      <xdr:rowOff>207065</xdr:rowOff>
    </xdr:from>
    <xdr:to>
      <xdr:col>8</xdr:col>
      <xdr:colOff>2457174</xdr:colOff>
      <xdr:row>6</xdr:row>
      <xdr:rowOff>509104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F016A94-F252-D741-8DEB-F372B648F154}"/>
            </a:ext>
          </a:extLst>
        </xdr:cNvPr>
        <xdr:cNvSpPr txBox="1"/>
      </xdr:nvSpPr>
      <xdr:spPr>
        <a:xfrm>
          <a:off x="10425595" y="3313043"/>
          <a:ext cx="7382014" cy="30203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1159565</xdr:colOff>
      <xdr:row>10</xdr:row>
      <xdr:rowOff>152400</xdr:rowOff>
    </xdr:from>
    <xdr:to>
      <xdr:col>8</xdr:col>
      <xdr:colOff>2457174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4155108" y="5798378"/>
          <a:ext cx="13652501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1076741</xdr:colOff>
      <xdr:row>8</xdr:row>
      <xdr:rowOff>179457</xdr:rowOff>
    </xdr:from>
    <xdr:to>
      <xdr:col>9</xdr:col>
      <xdr:colOff>13805</xdr:colOff>
      <xdr:row>8</xdr:row>
      <xdr:rowOff>510761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D6DCF9A-6F94-E34A-BD25-E99B28923CFB}"/>
            </a:ext>
          </a:extLst>
        </xdr:cNvPr>
        <xdr:cNvSpPr txBox="1"/>
      </xdr:nvSpPr>
      <xdr:spPr>
        <a:xfrm>
          <a:off x="4072284" y="4555435"/>
          <a:ext cx="13762934" cy="33130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14</xdr:row>
      <xdr:rowOff>150192</xdr:rowOff>
    </xdr:from>
    <xdr:to>
      <xdr:col>3</xdr:col>
      <xdr:colOff>1228587</xdr:colOff>
      <xdr:row>14</xdr:row>
      <xdr:rowOff>496957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3DDF9DC-B0AE-614F-AC9F-01E289757A6C}"/>
            </a:ext>
          </a:extLst>
        </xdr:cNvPr>
        <xdr:cNvSpPr txBox="1"/>
      </xdr:nvSpPr>
      <xdr:spPr>
        <a:xfrm>
          <a:off x="524566" y="8336170"/>
          <a:ext cx="3699564" cy="34676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1145761</xdr:colOff>
      <xdr:row>12</xdr:row>
      <xdr:rowOff>138044</xdr:rowOff>
    </xdr:from>
    <xdr:to>
      <xdr:col>9</xdr:col>
      <xdr:colOff>13804</xdr:colOff>
      <xdr:row>12</xdr:row>
      <xdr:rowOff>483152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4141304" y="7054022"/>
          <a:ext cx="13693913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22640</xdr:colOff>
      <xdr:row>12</xdr:row>
      <xdr:rowOff>138043</xdr:rowOff>
    </xdr:from>
    <xdr:to>
      <xdr:col>3</xdr:col>
      <xdr:colOff>1173369</xdr:colOff>
      <xdr:row>12</xdr:row>
      <xdr:rowOff>483152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34D223-02C5-E241-949A-0058DE925D73}"/>
            </a:ext>
          </a:extLst>
        </xdr:cNvPr>
        <xdr:cNvSpPr txBox="1"/>
      </xdr:nvSpPr>
      <xdr:spPr>
        <a:xfrm>
          <a:off x="547205" y="7054021"/>
          <a:ext cx="3621707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22640</xdr:colOff>
      <xdr:row>10</xdr:row>
      <xdr:rowOff>155712</xdr:rowOff>
    </xdr:from>
    <xdr:to>
      <xdr:col>3</xdr:col>
      <xdr:colOff>1159565</xdr:colOff>
      <xdr:row>10</xdr:row>
      <xdr:rowOff>496956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473A4F-952D-6D42-9C84-5AF131314719}"/>
            </a:ext>
          </a:extLst>
        </xdr:cNvPr>
        <xdr:cNvSpPr txBox="1"/>
      </xdr:nvSpPr>
      <xdr:spPr>
        <a:xfrm>
          <a:off x="547205" y="5801690"/>
          <a:ext cx="3607903" cy="34124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1187172</xdr:colOff>
      <xdr:row>14</xdr:row>
      <xdr:rowOff>152400</xdr:rowOff>
    </xdr:from>
    <xdr:to>
      <xdr:col>7</xdr:col>
      <xdr:colOff>13803</xdr:colOff>
      <xdr:row>14</xdr:row>
      <xdr:rowOff>497509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1DE24D-8D2E-CC4D-A2C2-382A338F7CD6}"/>
            </a:ext>
          </a:extLst>
        </xdr:cNvPr>
        <xdr:cNvSpPr txBox="1"/>
      </xdr:nvSpPr>
      <xdr:spPr>
        <a:xfrm>
          <a:off x="4182715" y="8338378"/>
          <a:ext cx="8710545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23193</xdr:colOff>
      <xdr:row>8</xdr:row>
      <xdr:rowOff>180008</xdr:rowOff>
    </xdr:from>
    <xdr:to>
      <xdr:col>3</xdr:col>
      <xdr:colOff>1118153</xdr:colOff>
      <xdr:row>8</xdr:row>
      <xdr:rowOff>510761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5E5CAF-EC6B-9841-8D52-7F0D806B9487}"/>
            </a:ext>
          </a:extLst>
        </xdr:cNvPr>
        <xdr:cNvSpPr txBox="1"/>
      </xdr:nvSpPr>
      <xdr:spPr>
        <a:xfrm>
          <a:off x="547758" y="4555986"/>
          <a:ext cx="3565938" cy="33075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2208695</xdr:colOff>
      <xdr:row>1</xdr:row>
      <xdr:rowOff>621196</xdr:rowOff>
    </xdr:from>
    <xdr:to>
      <xdr:col>8</xdr:col>
      <xdr:colOff>2185625</xdr:colOff>
      <xdr:row>3</xdr:row>
      <xdr:rowOff>586628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879FB0-F23E-7043-881F-B3FB8C06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8152" y="814457"/>
          <a:ext cx="2447908" cy="11664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12700</xdr:colOff>
      <xdr:row>6</xdr:row>
      <xdr:rowOff>177800</xdr:rowOff>
    </xdr:from>
    <xdr:to>
      <xdr:col>9</xdr:col>
      <xdr:colOff>12700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CFE792B-6856-CC40-B9D7-60A7B2D7FE0D}"/>
            </a:ext>
          </a:extLst>
        </xdr:cNvPr>
        <xdr:cNvSpPr txBox="1"/>
      </xdr:nvSpPr>
      <xdr:spPr>
        <a:xfrm>
          <a:off x="12928600" y="32893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14</xdr:row>
      <xdr:rowOff>165100</xdr:rowOff>
    </xdr:from>
    <xdr:to>
      <xdr:col>8</xdr:col>
      <xdr:colOff>2451100</xdr:colOff>
      <xdr:row>14</xdr:row>
      <xdr:rowOff>482600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4254500" y="8356600"/>
          <a:ext cx="1358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10</xdr:row>
      <xdr:rowOff>165100</xdr:rowOff>
    </xdr:from>
    <xdr:to>
      <xdr:col>8</xdr:col>
      <xdr:colOff>2451100</xdr:colOff>
      <xdr:row>10</xdr:row>
      <xdr:rowOff>482600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4254500" y="5816600"/>
          <a:ext cx="1358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8</xdr:row>
      <xdr:rowOff>177800</xdr:rowOff>
    </xdr:from>
    <xdr:to>
      <xdr:col>8</xdr:col>
      <xdr:colOff>2463800</xdr:colOff>
      <xdr:row>8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37F299-D486-F14B-9A47-7355099B919B}"/>
            </a:ext>
          </a:extLst>
        </xdr:cNvPr>
        <xdr:cNvSpPr txBox="1"/>
      </xdr:nvSpPr>
      <xdr:spPr>
        <a:xfrm>
          <a:off x="4267200" y="4559300"/>
          <a:ext cx="13589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12</xdr:row>
      <xdr:rowOff>152400</xdr:rowOff>
    </xdr:from>
    <xdr:to>
      <xdr:col>8</xdr:col>
      <xdr:colOff>2451100</xdr:colOff>
      <xdr:row>12</xdr:row>
      <xdr:rowOff>469900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4203700" y="7073900"/>
          <a:ext cx="13639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165100</xdr:rowOff>
    </xdr:from>
    <xdr:to>
      <xdr:col>3</xdr:col>
      <xdr:colOff>1257299</xdr:colOff>
      <xdr:row>10</xdr:row>
      <xdr:rowOff>482599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AD37A3-4269-2144-910D-9F2C96241C2C}"/>
            </a:ext>
          </a:extLst>
        </xdr:cNvPr>
        <xdr:cNvSpPr txBox="1"/>
      </xdr:nvSpPr>
      <xdr:spPr>
        <a:xfrm>
          <a:off x="558800" y="5816600"/>
          <a:ext cx="37083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8</xdr:row>
      <xdr:rowOff>177800</xdr:rowOff>
    </xdr:from>
    <xdr:to>
      <xdr:col>3</xdr:col>
      <xdr:colOff>1257299</xdr:colOff>
      <xdr:row>8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327BCF-2422-9B45-B187-5EC556759512}"/>
            </a:ext>
          </a:extLst>
        </xdr:cNvPr>
        <xdr:cNvSpPr txBox="1"/>
      </xdr:nvSpPr>
      <xdr:spPr>
        <a:xfrm>
          <a:off x="520700" y="4559300"/>
          <a:ext cx="37464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165100</xdr:rowOff>
    </xdr:from>
    <xdr:to>
      <xdr:col>3</xdr:col>
      <xdr:colOff>1244599</xdr:colOff>
      <xdr:row>14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85F1DD-20C3-F64D-9C8F-99BC3AC52993}"/>
            </a:ext>
          </a:extLst>
        </xdr:cNvPr>
        <xdr:cNvSpPr txBox="1"/>
      </xdr:nvSpPr>
      <xdr:spPr>
        <a:xfrm>
          <a:off x="546100" y="8356600"/>
          <a:ext cx="37083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3</xdr:col>
      <xdr:colOff>1231900</xdr:colOff>
      <xdr:row>12</xdr:row>
      <xdr:rowOff>469899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C94603-FE8F-6B40-9209-CC9097EEDF37}"/>
            </a:ext>
          </a:extLst>
        </xdr:cNvPr>
        <xdr:cNvSpPr txBox="1"/>
      </xdr:nvSpPr>
      <xdr:spPr>
        <a:xfrm>
          <a:off x="558800" y="7073900"/>
          <a:ext cx="36830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16</xdr:row>
      <xdr:rowOff>254000</xdr:rowOff>
    </xdr:from>
    <xdr:to>
      <xdr:col>3</xdr:col>
      <xdr:colOff>12700</xdr:colOff>
      <xdr:row>16</xdr:row>
      <xdr:rowOff>571499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B6CC36-B2C4-D243-B672-94CF22E5F5E5}"/>
            </a:ext>
          </a:extLst>
        </xdr:cNvPr>
        <xdr:cNvSpPr txBox="1"/>
      </xdr:nvSpPr>
      <xdr:spPr>
        <a:xfrm>
          <a:off x="533401" y="9715500"/>
          <a:ext cx="24891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FD85EB-959E-6147-9900-08110D257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1155700</xdr:colOff>
      <xdr:row>8</xdr:row>
      <xdr:rowOff>177801</xdr:rowOff>
    </xdr:from>
    <xdr:to>
      <xdr:col>9</xdr:col>
      <xdr:colOff>0</xdr:colOff>
      <xdr:row>8</xdr:row>
      <xdr:rowOff>495301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4165600" y="4559301"/>
          <a:ext cx="1370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12</xdr:row>
      <xdr:rowOff>165101</xdr:rowOff>
    </xdr:from>
    <xdr:to>
      <xdr:col>9</xdr:col>
      <xdr:colOff>25400</xdr:colOff>
      <xdr:row>12</xdr:row>
      <xdr:rowOff>482601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4267200" y="7086601"/>
          <a:ext cx="13627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6</xdr:row>
      <xdr:rowOff>190500</xdr:rowOff>
    </xdr:from>
    <xdr:to>
      <xdr:col>9</xdr:col>
      <xdr:colOff>12700</xdr:colOff>
      <xdr:row>6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4191000" y="3302000"/>
          <a:ext cx="1369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4216400" y="5829300"/>
          <a:ext cx="13652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14</xdr:row>
      <xdr:rowOff>177800</xdr:rowOff>
    </xdr:from>
    <xdr:to>
      <xdr:col>5</xdr:col>
      <xdr:colOff>0</xdr:colOff>
      <xdr:row>14</xdr:row>
      <xdr:rowOff>495300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4279900" y="8369300"/>
          <a:ext cx="368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1219200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829F40-C57A-E745-8764-5B6AD1401B85}"/>
            </a:ext>
          </a:extLst>
        </xdr:cNvPr>
        <xdr:cNvSpPr txBox="1"/>
      </xdr:nvSpPr>
      <xdr:spPr>
        <a:xfrm>
          <a:off x="558800" y="5829300"/>
          <a:ext cx="3670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1270000</xdr:colOff>
      <xdr:row>12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3EE35D-E652-4C40-8B05-641CA31BF327}"/>
            </a:ext>
          </a:extLst>
        </xdr:cNvPr>
        <xdr:cNvSpPr txBox="1"/>
      </xdr:nvSpPr>
      <xdr:spPr>
        <a:xfrm>
          <a:off x="546100" y="7086600"/>
          <a:ext cx="373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3</xdr:col>
      <xdr:colOff>1168401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2284E8-3EE0-A845-947B-958CDC46BE78}"/>
            </a:ext>
          </a:extLst>
        </xdr:cNvPr>
        <xdr:cNvSpPr txBox="1"/>
      </xdr:nvSpPr>
      <xdr:spPr>
        <a:xfrm>
          <a:off x="533400" y="4559300"/>
          <a:ext cx="3644901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177800</xdr:rowOff>
    </xdr:from>
    <xdr:to>
      <xdr:col>3</xdr:col>
      <xdr:colOff>1269999</xdr:colOff>
      <xdr:row>14</xdr:row>
      <xdr:rowOff>495299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D5A74E9-1CE7-994B-B6D0-B9BA790F0C5D}"/>
            </a:ext>
          </a:extLst>
        </xdr:cNvPr>
        <xdr:cNvSpPr txBox="1"/>
      </xdr:nvSpPr>
      <xdr:spPr>
        <a:xfrm>
          <a:off x="533400" y="8369300"/>
          <a:ext cx="37464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</xdr:colOff>
      <xdr:row>6</xdr:row>
      <xdr:rowOff>190500</xdr:rowOff>
    </xdr:from>
    <xdr:to>
      <xdr:col>3</xdr:col>
      <xdr:colOff>1193800</xdr:colOff>
      <xdr:row>6</xdr:row>
      <xdr:rowOff>507999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5E44202-7007-BB4C-93EC-35DA4F5CE8BF}"/>
            </a:ext>
          </a:extLst>
        </xdr:cNvPr>
        <xdr:cNvSpPr txBox="1"/>
      </xdr:nvSpPr>
      <xdr:spPr>
        <a:xfrm>
          <a:off x="3022600" y="3302000"/>
          <a:ext cx="118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8BB448-B155-4641-B9C6-94159FC64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1104900</xdr:colOff>
      <xdr:row>8</xdr:row>
      <xdr:rowOff>165100</xdr:rowOff>
    </xdr:from>
    <xdr:to>
      <xdr:col>9</xdr:col>
      <xdr:colOff>0</xdr:colOff>
      <xdr:row>8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4114800" y="4546600"/>
          <a:ext cx="1375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12</xdr:row>
      <xdr:rowOff>165100</xdr:rowOff>
    </xdr:from>
    <xdr:to>
      <xdr:col>9</xdr:col>
      <xdr:colOff>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4165600" y="7086600"/>
          <a:ext cx="1370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</xdr:colOff>
      <xdr:row>6</xdr:row>
      <xdr:rowOff>165100</xdr:rowOff>
    </xdr:from>
    <xdr:to>
      <xdr:col>9</xdr:col>
      <xdr:colOff>0</xdr:colOff>
      <xdr:row>6</xdr:row>
      <xdr:rowOff>482599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7975600" y="3276600"/>
          <a:ext cx="9893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10</xdr:row>
      <xdr:rowOff>177801</xdr:rowOff>
    </xdr:from>
    <xdr:to>
      <xdr:col>9</xdr:col>
      <xdr:colOff>0</xdr:colOff>
      <xdr:row>10</xdr:row>
      <xdr:rowOff>495301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4165600" y="5829301"/>
          <a:ext cx="1370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1193800</xdr:colOff>
      <xdr:row>14</xdr:row>
      <xdr:rowOff>177800</xdr:rowOff>
    </xdr:from>
    <xdr:to>
      <xdr:col>8</xdr:col>
      <xdr:colOff>0</xdr:colOff>
      <xdr:row>14</xdr:row>
      <xdr:rowOff>502203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948B67A-CAE3-2E48-9238-77F443715451}"/>
            </a:ext>
          </a:extLst>
        </xdr:cNvPr>
        <xdr:cNvSpPr txBox="1"/>
      </xdr:nvSpPr>
      <xdr:spPr>
        <a:xfrm>
          <a:off x="1727200" y="8369300"/>
          <a:ext cx="13665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165100</xdr:rowOff>
    </xdr:from>
    <xdr:to>
      <xdr:col>3</xdr:col>
      <xdr:colOff>1104900</xdr:colOff>
      <xdr:row>8</xdr:row>
      <xdr:rowOff>482600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A13668-A88E-B447-8174-C2F49AE22B3C}"/>
            </a:ext>
          </a:extLst>
        </xdr:cNvPr>
        <xdr:cNvSpPr txBox="1"/>
      </xdr:nvSpPr>
      <xdr:spPr>
        <a:xfrm>
          <a:off x="558800" y="4546600"/>
          <a:ext cx="355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1155700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A34AC9-7076-6E4B-8718-F7CB671F86FE}"/>
            </a:ext>
          </a:extLst>
        </xdr:cNvPr>
        <xdr:cNvSpPr txBox="1"/>
      </xdr:nvSpPr>
      <xdr:spPr>
        <a:xfrm>
          <a:off x="546100" y="7086600"/>
          <a:ext cx="361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177801</xdr:rowOff>
    </xdr:from>
    <xdr:to>
      <xdr:col>3</xdr:col>
      <xdr:colOff>1143000</xdr:colOff>
      <xdr:row>10</xdr:row>
      <xdr:rowOff>495301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877CF7-BBF8-714E-8A90-6DD7993D2EA0}"/>
            </a:ext>
          </a:extLst>
        </xdr:cNvPr>
        <xdr:cNvSpPr txBox="1"/>
      </xdr:nvSpPr>
      <xdr:spPr>
        <a:xfrm>
          <a:off x="533400" y="5829301"/>
          <a:ext cx="361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177801</xdr:rowOff>
    </xdr:from>
    <xdr:to>
      <xdr:col>3</xdr:col>
      <xdr:colOff>1143000</xdr:colOff>
      <xdr:row>14</xdr:row>
      <xdr:rowOff>495301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6E91F7C-566E-784B-BF5C-DEAF8A0088B7}"/>
            </a:ext>
          </a:extLst>
        </xdr:cNvPr>
        <xdr:cNvSpPr txBox="1"/>
      </xdr:nvSpPr>
      <xdr:spPr>
        <a:xfrm>
          <a:off x="546100" y="8369301"/>
          <a:ext cx="360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A90737-1738-9D4E-8D4E-5A20ACEA8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0</xdr:colOff>
      <xdr:row>6</xdr:row>
      <xdr:rowOff>177801</xdr:rowOff>
    </xdr:from>
    <xdr:to>
      <xdr:col>9</xdr:col>
      <xdr:colOff>0</xdr:colOff>
      <xdr:row>6</xdr:row>
      <xdr:rowOff>495301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72BD9E5-F6EB-6E4C-AFF2-1D9820B27623}"/>
            </a:ext>
          </a:extLst>
        </xdr:cNvPr>
        <xdr:cNvSpPr txBox="1"/>
      </xdr:nvSpPr>
      <xdr:spPr>
        <a:xfrm>
          <a:off x="15392400" y="3289301"/>
          <a:ext cx="247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10</xdr:row>
      <xdr:rowOff>177801</xdr:rowOff>
    </xdr:from>
    <xdr:to>
      <xdr:col>9</xdr:col>
      <xdr:colOff>0</xdr:colOff>
      <xdr:row>10</xdr:row>
      <xdr:rowOff>495301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4216400" y="5829301"/>
          <a:ext cx="13652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8</xdr:row>
      <xdr:rowOff>190500</xdr:rowOff>
    </xdr:from>
    <xdr:to>
      <xdr:col>9</xdr:col>
      <xdr:colOff>0</xdr:colOff>
      <xdr:row>8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4165600" y="4572000"/>
          <a:ext cx="1370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12</xdr:row>
      <xdr:rowOff>152400</xdr:rowOff>
    </xdr:from>
    <xdr:to>
      <xdr:col>8</xdr:col>
      <xdr:colOff>2463800</xdr:colOff>
      <xdr:row>12</xdr:row>
      <xdr:rowOff>469900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4203700" y="70739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14</xdr:row>
      <xdr:rowOff>177800</xdr:rowOff>
    </xdr:from>
    <xdr:to>
      <xdr:col>9</xdr:col>
      <xdr:colOff>0</xdr:colOff>
      <xdr:row>14</xdr:row>
      <xdr:rowOff>502203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4241800" y="8369300"/>
          <a:ext cx="136271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1206500</xdr:colOff>
      <xdr:row>10</xdr:row>
      <xdr:rowOff>495300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8B53C-DB8B-1347-ABED-8075D75705A7}"/>
            </a:ext>
          </a:extLst>
        </xdr:cNvPr>
        <xdr:cNvSpPr txBox="1"/>
      </xdr:nvSpPr>
      <xdr:spPr>
        <a:xfrm>
          <a:off x="546100" y="5829300"/>
          <a:ext cx="367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3</xdr:col>
      <xdr:colOff>1155700</xdr:colOff>
      <xdr:row>8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6F0884-F18F-C944-B5AB-C2D6A4F0B5B7}"/>
            </a:ext>
          </a:extLst>
        </xdr:cNvPr>
        <xdr:cNvSpPr txBox="1"/>
      </xdr:nvSpPr>
      <xdr:spPr>
        <a:xfrm>
          <a:off x="546100" y="4572000"/>
          <a:ext cx="361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1231900</xdr:colOff>
      <xdr:row>14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AEFC51-945C-AF48-B1D3-C9EF86FD2D3A}"/>
            </a:ext>
          </a:extLst>
        </xdr:cNvPr>
        <xdr:cNvSpPr txBox="1"/>
      </xdr:nvSpPr>
      <xdr:spPr>
        <a:xfrm>
          <a:off x="546100" y="8369300"/>
          <a:ext cx="36957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3</xdr:col>
      <xdr:colOff>1181100</xdr:colOff>
      <xdr:row>12</xdr:row>
      <xdr:rowOff>469900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4270C4-E118-3049-8C4E-FADCA2A36A18}"/>
            </a:ext>
          </a:extLst>
        </xdr:cNvPr>
        <xdr:cNvSpPr txBox="1"/>
      </xdr:nvSpPr>
      <xdr:spPr>
        <a:xfrm>
          <a:off x="558800" y="7073900"/>
          <a:ext cx="363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228600</xdr:rowOff>
    </xdr:from>
    <xdr:to>
      <xdr:col>3</xdr:col>
      <xdr:colOff>12700</xdr:colOff>
      <xdr:row>16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28327D4-8659-8841-BEE9-001F61D56582}"/>
            </a:ext>
          </a:extLst>
        </xdr:cNvPr>
        <xdr:cNvSpPr txBox="1"/>
      </xdr:nvSpPr>
      <xdr:spPr>
        <a:xfrm>
          <a:off x="546100" y="9690100"/>
          <a:ext cx="247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647700</xdr:rowOff>
    </xdr:from>
    <xdr:to>
      <xdr:col>8</xdr:col>
      <xdr:colOff>2143108</xdr:colOff>
      <xdr:row>3</xdr:row>
      <xdr:rowOff>607610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2769DFD-EA94-A849-90C4-DEE9B34BC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38200"/>
          <a:ext cx="2447908" cy="1166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1181100</xdr:colOff>
      <xdr:row>12</xdr:row>
      <xdr:rowOff>152400</xdr:rowOff>
    </xdr:from>
    <xdr:to>
      <xdr:col>9</xdr:col>
      <xdr:colOff>12700</xdr:colOff>
      <xdr:row>12</xdr:row>
      <xdr:rowOff>469900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4191000" y="7073900"/>
          <a:ext cx="1369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8</xdr:row>
      <xdr:rowOff>165100</xdr:rowOff>
    </xdr:from>
    <xdr:to>
      <xdr:col>9</xdr:col>
      <xdr:colOff>0</xdr:colOff>
      <xdr:row>8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4203700" y="4546600"/>
          <a:ext cx="13665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10</xdr:row>
      <xdr:rowOff>165100</xdr:rowOff>
    </xdr:from>
    <xdr:to>
      <xdr:col>9</xdr:col>
      <xdr:colOff>0</xdr:colOff>
      <xdr:row>10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4216400" y="58166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6</xdr:row>
      <xdr:rowOff>165100</xdr:rowOff>
    </xdr:from>
    <xdr:to>
      <xdr:col>9</xdr:col>
      <xdr:colOff>12700</xdr:colOff>
      <xdr:row>6</xdr:row>
      <xdr:rowOff>482600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4292600" y="3276600"/>
          <a:ext cx="1358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14</xdr:row>
      <xdr:rowOff>177800</xdr:rowOff>
    </xdr:from>
    <xdr:to>
      <xdr:col>6</xdr:col>
      <xdr:colOff>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7E06F3-D8F6-A949-918A-DF2C8DEAE00C}"/>
            </a:ext>
          </a:extLst>
        </xdr:cNvPr>
        <xdr:cNvSpPr txBox="1"/>
      </xdr:nvSpPr>
      <xdr:spPr>
        <a:xfrm>
          <a:off x="4178300" y="8369300"/>
          <a:ext cx="626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3</xdr:col>
      <xdr:colOff>1206500</xdr:colOff>
      <xdr:row>10</xdr:row>
      <xdr:rowOff>482600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F31D15-8C13-BC48-A018-9A19ECFA37F5}"/>
            </a:ext>
          </a:extLst>
        </xdr:cNvPr>
        <xdr:cNvSpPr txBox="1"/>
      </xdr:nvSpPr>
      <xdr:spPr>
        <a:xfrm>
          <a:off x="546100" y="5816600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165100</xdr:rowOff>
    </xdr:from>
    <xdr:to>
      <xdr:col>3</xdr:col>
      <xdr:colOff>1206500</xdr:colOff>
      <xdr:row>8</xdr:row>
      <xdr:rowOff>482600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2BE612-7EE1-AD49-9C53-0BBEAFBBF3B9}"/>
            </a:ext>
          </a:extLst>
        </xdr:cNvPr>
        <xdr:cNvSpPr txBox="1"/>
      </xdr:nvSpPr>
      <xdr:spPr>
        <a:xfrm>
          <a:off x="546100" y="4546600"/>
          <a:ext cx="367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1168400</xdr:colOff>
      <xdr:row>14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099DB7-6150-574D-8444-B4A92B8C1707}"/>
            </a:ext>
          </a:extLst>
        </xdr:cNvPr>
        <xdr:cNvSpPr txBox="1"/>
      </xdr:nvSpPr>
      <xdr:spPr>
        <a:xfrm>
          <a:off x="546100" y="8369300"/>
          <a:ext cx="363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3</xdr:col>
      <xdr:colOff>1193800</xdr:colOff>
      <xdr:row>12</xdr:row>
      <xdr:rowOff>469900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58800" y="7073900"/>
          <a:ext cx="364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</xdr:colOff>
      <xdr:row>6</xdr:row>
      <xdr:rowOff>165100</xdr:rowOff>
    </xdr:from>
    <xdr:to>
      <xdr:col>3</xdr:col>
      <xdr:colOff>1308100</xdr:colOff>
      <xdr:row>6</xdr:row>
      <xdr:rowOff>482600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D87B723-DE08-9849-89CC-30230ED3AA76}"/>
            </a:ext>
          </a:extLst>
        </xdr:cNvPr>
        <xdr:cNvSpPr txBox="1"/>
      </xdr:nvSpPr>
      <xdr:spPr>
        <a:xfrm>
          <a:off x="3022600" y="3276600"/>
          <a:ext cx="1295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E99AC0-7A1B-B649-8E8D-21DB141B0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1193800</xdr:colOff>
      <xdr:row>12</xdr:row>
      <xdr:rowOff>152400</xdr:rowOff>
    </xdr:from>
    <xdr:to>
      <xdr:col>9</xdr:col>
      <xdr:colOff>12700</xdr:colOff>
      <xdr:row>12</xdr:row>
      <xdr:rowOff>469900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33E9F9-EC86-A24E-B431-B8CBAA6A960B}"/>
            </a:ext>
          </a:extLst>
        </xdr:cNvPr>
        <xdr:cNvSpPr txBox="1"/>
      </xdr:nvSpPr>
      <xdr:spPr>
        <a:xfrm>
          <a:off x="4203700" y="7073900"/>
          <a:ext cx="13677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1219200</xdr:colOff>
      <xdr:row>8</xdr:row>
      <xdr:rowOff>177800</xdr:rowOff>
    </xdr:from>
    <xdr:to>
      <xdr:col>9</xdr:col>
      <xdr:colOff>0</xdr:colOff>
      <xdr:row>8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F353F9-1DE0-0246-808A-17F0ADDD0276}"/>
            </a:ext>
          </a:extLst>
        </xdr:cNvPr>
        <xdr:cNvSpPr txBox="1"/>
      </xdr:nvSpPr>
      <xdr:spPr>
        <a:xfrm>
          <a:off x="4229100" y="4559300"/>
          <a:ext cx="13639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12700</xdr:colOff>
      <xdr:row>6</xdr:row>
      <xdr:rowOff>165100</xdr:rowOff>
    </xdr:from>
    <xdr:to>
      <xdr:col>8</xdr:col>
      <xdr:colOff>2463800</xdr:colOff>
      <xdr:row>6</xdr:row>
      <xdr:rowOff>482599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4DB4E4-83E6-4641-AB28-E0BDDB802CD8}"/>
            </a:ext>
          </a:extLst>
        </xdr:cNvPr>
        <xdr:cNvSpPr txBox="1"/>
      </xdr:nvSpPr>
      <xdr:spPr>
        <a:xfrm>
          <a:off x="10452100" y="3276600"/>
          <a:ext cx="7404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10</xdr:row>
      <xdr:rowOff>177800</xdr:rowOff>
    </xdr:from>
    <xdr:to>
      <xdr:col>8</xdr:col>
      <xdr:colOff>2463800</xdr:colOff>
      <xdr:row>10</xdr:row>
      <xdr:rowOff>495299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4203700" y="5829300"/>
          <a:ext cx="13652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14</xdr:row>
      <xdr:rowOff>177800</xdr:rowOff>
    </xdr:from>
    <xdr:to>
      <xdr:col>9</xdr:col>
      <xdr:colOff>12700</xdr:colOff>
      <xdr:row>14</xdr:row>
      <xdr:rowOff>495299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4216400" y="8369300"/>
          <a:ext cx="13665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1181100</xdr:colOff>
      <xdr:row>10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58800" y="5829300"/>
          <a:ext cx="363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3</xdr:col>
      <xdr:colOff>1206500</xdr:colOff>
      <xdr:row>8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8A1E3D-7062-BE4E-B3F9-3FC5528D2AD5}"/>
            </a:ext>
          </a:extLst>
        </xdr:cNvPr>
        <xdr:cNvSpPr txBox="1"/>
      </xdr:nvSpPr>
      <xdr:spPr>
        <a:xfrm>
          <a:off x="558800" y="4559300"/>
          <a:ext cx="365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14</xdr:row>
      <xdr:rowOff>177800</xdr:rowOff>
    </xdr:from>
    <xdr:to>
      <xdr:col>3</xdr:col>
      <xdr:colOff>1206500</xdr:colOff>
      <xdr:row>14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C3F732-76E8-A842-B090-14C8CB05E2D3}"/>
            </a:ext>
          </a:extLst>
        </xdr:cNvPr>
        <xdr:cNvSpPr txBox="1"/>
      </xdr:nvSpPr>
      <xdr:spPr>
        <a:xfrm>
          <a:off x="571500" y="8369300"/>
          <a:ext cx="364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152400</xdr:rowOff>
    </xdr:from>
    <xdr:to>
      <xdr:col>3</xdr:col>
      <xdr:colOff>1206500</xdr:colOff>
      <xdr:row>12</xdr:row>
      <xdr:rowOff>469900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3B73DD-20B2-5A43-A6A0-472427F5E44F}"/>
            </a:ext>
          </a:extLst>
        </xdr:cNvPr>
        <xdr:cNvSpPr txBox="1"/>
      </xdr:nvSpPr>
      <xdr:spPr>
        <a:xfrm>
          <a:off x="546100" y="7073900"/>
          <a:ext cx="367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E7D9E1-F444-864A-A8EF-514895DF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1206500</xdr:colOff>
      <xdr:row>8</xdr:row>
      <xdr:rowOff>165101</xdr:rowOff>
    </xdr:from>
    <xdr:to>
      <xdr:col>8</xdr:col>
      <xdr:colOff>2463800</xdr:colOff>
      <xdr:row>8</xdr:row>
      <xdr:rowOff>482601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4216400" y="4546601"/>
          <a:ext cx="1363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12</xdr:row>
      <xdr:rowOff>165101</xdr:rowOff>
    </xdr:from>
    <xdr:to>
      <xdr:col>9</xdr:col>
      <xdr:colOff>12700</xdr:colOff>
      <xdr:row>12</xdr:row>
      <xdr:rowOff>482601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0A097F1-158B-474C-AC09-13FA94625701}"/>
            </a:ext>
          </a:extLst>
        </xdr:cNvPr>
        <xdr:cNvSpPr txBox="1"/>
      </xdr:nvSpPr>
      <xdr:spPr>
        <a:xfrm>
          <a:off x="4203700" y="7086601"/>
          <a:ext cx="1367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10</xdr:row>
      <xdr:rowOff>177800</xdr:rowOff>
    </xdr:from>
    <xdr:to>
      <xdr:col>8</xdr:col>
      <xdr:colOff>2463800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4216400" y="5829300"/>
          <a:ext cx="13639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14</xdr:row>
      <xdr:rowOff>177800</xdr:rowOff>
    </xdr:from>
    <xdr:to>
      <xdr:col>3</xdr:col>
      <xdr:colOff>2463800</xdr:colOff>
      <xdr:row>14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4203700" y="8369300"/>
          <a:ext cx="1270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6</xdr:row>
      <xdr:rowOff>177800</xdr:rowOff>
    </xdr:from>
    <xdr:to>
      <xdr:col>9</xdr:col>
      <xdr:colOff>12700</xdr:colOff>
      <xdr:row>6</xdr:row>
      <xdr:rowOff>495299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4203700" y="3289300"/>
          <a:ext cx="13677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10</xdr:row>
      <xdr:rowOff>177800</xdr:rowOff>
    </xdr:from>
    <xdr:to>
      <xdr:col>2</xdr:col>
      <xdr:colOff>1257300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AA3F8C-0E4A-8E4F-901C-670E7FD21687}"/>
            </a:ext>
          </a:extLst>
        </xdr:cNvPr>
        <xdr:cNvSpPr txBox="1"/>
      </xdr:nvSpPr>
      <xdr:spPr>
        <a:xfrm>
          <a:off x="533400" y="582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165100</xdr:rowOff>
    </xdr:from>
    <xdr:to>
      <xdr:col>3</xdr:col>
      <xdr:colOff>1206500</xdr:colOff>
      <xdr:row>8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5C0DBF4-BD43-4B4E-A71A-B495F73E45A5}"/>
            </a:ext>
          </a:extLst>
        </xdr:cNvPr>
        <xdr:cNvSpPr txBox="1"/>
      </xdr:nvSpPr>
      <xdr:spPr>
        <a:xfrm>
          <a:off x="546100" y="45466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1282700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58800" y="836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1193800</xdr:colOff>
      <xdr:row>12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1850A4-D2C4-8446-AE06-744D812B74D3}"/>
            </a:ext>
          </a:extLst>
        </xdr:cNvPr>
        <xdr:cNvSpPr txBox="1"/>
      </xdr:nvSpPr>
      <xdr:spPr>
        <a:xfrm>
          <a:off x="546100" y="70866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1206500</xdr:colOff>
      <xdr:row>10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B6E83BF-4421-F648-8A66-4DE97C8BFAA4}"/>
            </a:ext>
          </a:extLst>
        </xdr:cNvPr>
        <xdr:cNvSpPr txBox="1"/>
      </xdr:nvSpPr>
      <xdr:spPr>
        <a:xfrm>
          <a:off x="546100" y="5829300"/>
          <a:ext cx="367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14</xdr:row>
      <xdr:rowOff>177800</xdr:rowOff>
    </xdr:from>
    <xdr:to>
      <xdr:col>3</xdr:col>
      <xdr:colOff>1206500</xdr:colOff>
      <xdr:row>14</xdr:row>
      <xdr:rowOff>495300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68F8D78-2F3F-BD40-9DB8-336856E3B09F}"/>
            </a:ext>
          </a:extLst>
        </xdr:cNvPr>
        <xdr:cNvSpPr txBox="1"/>
      </xdr:nvSpPr>
      <xdr:spPr>
        <a:xfrm>
          <a:off x="571500" y="8369300"/>
          <a:ext cx="364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6</xdr:row>
      <xdr:rowOff>177800</xdr:rowOff>
    </xdr:from>
    <xdr:to>
      <xdr:col>3</xdr:col>
      <xdr:colOff>1206500</xdr:colOff>
      <xdr:row>6</xdr:row>
      <xdr:rowOff>495300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8DC791D-22A1-B948-A4A9-CF3949A48DDA}"/>
            </a:ext>
          </a:extLst>
        </xdr:cNvPr>
        <xdr:cNvSpPr txBox="1"/>
      </xdr:nvSpPr>
      <xdr:spPr>
        <a:xfrm>
          <a:off x="571500" y="4559300"/>
          <a:ext cx="364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8299F3B-35B9-DB4A-92D7-7961F7215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1206500</xdr:colOff>
      <xdr:row>14</xdr:row>
      <xdr:rowOff>165100</xdr:rowOff>
    </xdr:from>
    <xdr:to>
      <xdr:col>7</xdr:col>
      <xdr:colOff>12700</xdr:colOff>
      <xdr:row>14</xdr:row>
      <xdr:rowOff>482600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19C5105-90B8-FE49-991A-46DB5FD47F02}"/>
            </a:ext>
          </a:extLst>
        </xdr:cNvPr>
        <xdr:cNvSpPr txBox="1"/>
      </xdr:nvSpPr>
      <xdr:spPr>
        <a:xfrm>
          <a:off x="4216400" y="8356600"/>
          <a:ext cx="871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8</xdr:row>
      <xdr:rowOff>177800</xdr:rowOff>
    </xdr:from>
    <xdr:to>
      <xdr:col>8</xdr:col>
      <xdr:colOff>2463800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4191000" y="4559300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12</xdr:row>
      <xdr:rowOff>165100</xdr:rowOff>
    </xdr:from>
    <xdr:to>
      <xdr:col>9</xdr:col>
      <xdr:colOff>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50F66AE-83D3-4F4B-9381-03BD33C23C27}"/>
            </a:ext>
          </a:extLst>
        </xdr:cNvPr>
        <xdr:cNvSpPr txBox="1"/>
      </xdr:nvSpPr>
      <xdr:spPr>
        <a:xfrm>
          <a:off x="4203700" y="7086600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10</xdr:row>
      <xdr:rowOff>165100</xdr:rowOff>
    </xdr:from>
    <xdr:to>
      <xdr:col>9</xdr:col>
      <xdr:colOff>18036</xdr:colOff>
      <xdr:row>10</xdr:row>
      <xdr:rowOff>482599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3A19AB-82B5-2A46-91D8-A13059987A42}"/>
            </a:ext>
          </a:extLst>
        </xdr:cNvPr>
        <xdr:cNvSpPr txBox="1"/>
      </xdr:nvSpPr>
      <xdr:spPr>
        <a:xfrm>
          <a:off x="4216400" y="5816600"/>
          <a:ext cx="136705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3</xdr:col>
      <xdr:colOff>1181100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2DEC5-6124-7F40-9B58-396DC90D1260}"/>
            </a:ext>
          </a:extLst>
        </xdr:cNvPr>
        <xdr:cNvSpPr txBox="1"/>
      </xdr:nvSpPr>
      <xdr:spPr>
        <a:xfrm>
          <a:off x="558800" y="45593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2</xdr:col>
      <xdr:colOff>1270000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546100" y="58293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1206500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B4143-FEAB-9049-8A5B-D2CBDE9697AD}"/>
            </a:ext>
          </a:extLst>
        </xdr:cNvPr>
        <xdr:cNvSpPr txBox="1"/>
      </xdr:nvSpPr>
      <xdr:spPr>
        <a:xfrm>
          <a:off x="558800" y="70866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0</xdr:colOff>
      <xdr:row>6</xdr:row>
      <xdr:rowOff>177800</xdr:rowOff>
    </xdr:from>
    <xdr:to>
      <xdr:col>8</xdr:col>
      <xdr:colOff>2463800</xdr:colOff>
      <xdr:row>6</xdr:row>
      <xdr:rowOff>495300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D02743-726E-C84F-BF7A-287B847B7F74}"/>
            </a:ext>
          </a:extLst>
        </xdr:cNvPr>
        <xdr:cNvSpPr txBox="1"/>
      </xdr:nvSpPr>
      <xdr:spPr>
        <a:xfrm>
          <a:off x="5486400" y="3289300"/>
          <a:ext cx="12369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10</xdr:row>
      <xdr:rowOff>165100</xdr:rowOff>
    </xdr:from>
    <xdr:to>
      <xdr:col>3</xdr:col>
      <xdr:colOff>1206500</xdr:colOff>
      <xdr:row>10</xdr:row>
      <xdr:rowOff>482599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6638DE4-B9E8-0549-932C-2ED7DB451875}"/>
            </a:ext>
          </a:extLst>
        </xdr:cNvPr>
        <xdr:cNvSpPr txBox="1"/>
      </xdr:nvSpPr>
      <xdr:spPr>
        <a:xfrm>
          <a:off x="571500" y="4546600"/>
          <a:ext cx="3644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165100</xdr:rowOff>
    </xdr:from>
    <xdr:to>
      <xdr:col>3</xdr:col>
      <xdr:colOff>1206500</xdr:colOff>
      <xdr:row>14</xdr:row>
      <xdr:rowOff>482599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EC7CFB3-6322-D84A-95D3-3B31FBA5C79A}"/>
            </a:ext>
          </a:extLst>
        </xdr:cNvPr>
        <xdr:cNvSpPr txBox="1"/>
      </xdr:nvSpPr>
      <xdr:spPr>
        <a:xfrm>
          <a:off x="546100" y="8356600"/>
          <a:ext cx="3670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2184400</xdr:colOff>
      <xdr:row>1</xdr:row>
      <xdr:rowOff>622300</xdr:rowOff>
    </xdr:from>
    <xdr:to>
      <xdr:col>8</xdr:col>
      <xdr:colOff>2155808</xdr:colOff>
      <xdr:row>3</xdr:row>
      <xdr:rowOff>582210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18F82B-3600-E945-9224-A4E68C553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0300" y="812800"/>
          <a:ext cx="2447908" cy="11664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1143000</xdr:colOff>
      <xdr:row>10</xdr:row>
      <xdr:rowOff>177800</xdr:rowOff>
    </xdr:from>
    <xdr:to>
      <xdr:col>8</xdr:col>
      <xdr:colOff>2463800</xdr:colOff>
      <xdr:row>10</xdr:row>
      <xdr:rowOff>482601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895453-C959-9C4B-84C8-B20E6679BF09}"/>
            </a:ext>
          </a:extLst>
        </xdr:cNvPr>
        <xdr:cNvSpPr txBox="1"/>
      </xdr:nvSpPr>
      <xdr:spPr>
        <a:xfrm>
          <a:off x="4152900" y="5829300"/>
          <a:ext cx="13703300" cy="3048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14</xdr:row>
      <xdr:rowOff>152400</xdr:rowOff>
    </xdr:from>
    <xdr:to>
      <xdr:col>9</xdr:col>
      <xdr:colOff>12700</xdr:colOff>
      <xdr:row>14</xdr:row>
      <xdr:rowOff>464103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D63A818-0CE3-9745-9306-92A6A92EC579}"/>
            </a:ext>
          </a:extLst>
        </xdr:cNvPr>
        <xdr:cNvSpPr txBox="1"/>
      </xdr:nvSpPr>
      <xdr:spPr>
        <a:xfrm>
          <a:off x="4178300" y="8343900"/>
          <a:ext cx="13703300" cy="3117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</xdr:colOff>
      <xdr:row>6</xdr:row>
      <xdr:rowOff>203200</xdr:rowOff>
    </xdr:from>
    <xdr:to>
      <xdr:col>8</xdr:col>
      <xdr:colOff>2463800</xdr:colOff>
      <xdr:row>6</xdr:row>
      <xdr:rowOff>520699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12928600" y="33147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8</xdr:row>
      <xdr:rowOff>203200</xdr:rowOff>
    </xdr:from>
    <xdr:to>
      <xdr:col>8</xdr:col>
      <xdr:colOff>2463800</xdr:colOff>
      <xdr:row>8</xdr:row>
      <xdr:rowOff>520700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4203700" y="45847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12</xdr:row>
      <xdr:rowOff>152400</xdr:rowOff>
    </xdr:from>
    <xdr:to>
      <xdr:col>9</xdr:col>
      <xdr:colOff>0</xdr:colOff>
      <xdr:row>12</xdr:row>
      <xdr:rowOff>444500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4165600" y="7073900"/>
          <a:ext cx="13703300" cy="2921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1143000</xdr:colOff>
      <xdr:row>10</xdr:row>
      <xdr:rowOff>482599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4B5C89-ECD4-5343-9627-9AF3F9A729AB}"/>
            </a:ext>
          </a:extLst>
        </xdr:cNvPr>
        <xdr:cNvSpPr txBox="1"/>
      </xdr:nvSpPr>
      <xdr:spPr>
        <a:xfrm>
          <a:off x="546100" y="5829300"/>
          <a:ext cx="3606800" cy="3047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203200</xdr:rowOff>
    </xdr:from>
    <xdr:to>
      <xdr:col>3</xdr:col>
      <xdr:colOff>1193800</xdr:colOff>
      <xdr:row>8</xdr:row>
      <xdr:rowOff>520699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58800" y="4584700"/>
          <a:ext cx="364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152400</xdr:rowOff>
    </xdr:from>
    <xdr:to>
      <xdr:col>3</xdr:col>
      <xdr:colOff>1193800</xdr:colOff>
      <xdr:row>14</xdr:row>
      <xdr:rowOff>469900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73B06F-77DE-5D44-A6D4-28849B28EC09}"/>
            </a:ext>
          </a:extLst>
        </xdr:cNvPr>
        <xdr:cNvSpPr txBox="1"/>
      </xdr:nvSpPr>
      <xdr:spPr>
        <a:xfrm>
          <a:off x="546100" y="8343900"/>
          <a:ext cx="365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3</xdr:col>
      <xdr:colOff>1155700</xdr:colOff>
      <xdr:row>12</xdr:row>
      <xdr:rowOff>444499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D3802-A3CB-C248-8EAB-8781C9FF3230}"/>
            </a:ext>
          </a:extLst>
        </xdr:cNvPr>
        <xdr:cNvSpPr txBox="1"/>
      </xdr:nvSpPr>
      <xdr:spPr>
        <a:xfrm>
          <a:off x="558800" y="7073900"/>
          <a:ext cx="3606800" cy="2920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74250-E3D3-0B40-AFF1-DDC841524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1219200</xdr:colOff>
      <xdr:row>6</xdr:row>
      <xdr:rowOff>139701</xdr:rowOff>
    </xdr:from>
    <xdr:to>
      <xdr:col>9</xdr:col>
      <xdr:colOff>0</xdr:colOff>
      <xdr:row>6</xdr:row>
      <xdr:rowOff>457201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958846-8460-EF4A-968D-BF9136819143}"/>
            </a:ext>
          </a:extLst>
        </xdr:cNvPr>
        <xdr:cNvSpPr txBox="1"/>
      </xdr:nvSpPr>
      <xdr:spPr>
        <a:xfrm>
          <a:off x="4229100" y="3251201"/>
          <a:ext cx="1363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10</xdr:row>
      <xdr:rowOff>177800</xdr:rowOff>
    </xdr:from>
    <xdr:to>
      <xdr:col>9</xdr:col>
      <xdr:colOff>0</xdr:colOff>
      <xdr:row>10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4191000" y="5829300"/>
          <a:ext cx="13677900" cy="324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14</xdr:row>
      <xdr:rowOff>177800</xdr:rowOff>
    </xdr:from>
    <xdr:to>
      <xdr:col>5</xdr:col>
      <xdr:colOff>0</xdr:colOff>
      <xdr:row>14</xdr:row>
      <xdr:rowOff>502203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771938D-3B08-8145-B40C-EF978C076C5D}"/>
            </a:ext>
          </a:extLst>
        </xdr:cNvPr>
        <xdr:cNvSpPr txBox="1"/>
      </xdr:nvSpPr>
      <xdr:spPr>
        <a:xfrm>
          <a:off x="4178300" y="8369300"/>
          <a:ext cx="3784600" cy="324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8</xdr:row>
      <xdr:rowOff>190500</xdr:rowOff>
    </xdr:from>
    <xdr:to>
      <xdr:col>9</xdr:col>
      <xdr:colOff>0</xdr:colOff>
      <xdr:row>8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4191000" y="4572000"/>
          <a:ext cx="13677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12</xdr:row>
      <xdr:rowOff>165100</xdr:rowOff>
    </xdr:from>
    <xdr:to>
      <xdr:col>9</xdr:col>
      <xdr:colOff>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0586C-C075-734E-8826-5BCA0C786220}"/>
            </a:ext>
          </a:extLst>
        </xdr:cNvPr>
        <xdr:cNvSpPr txBox="1"/>
      </xdr:nvSpPr>
      <xdr:spPr>
        <a:xfrm>
          <a:off x="4178300" y="7086600"/>
          <a:ext cx="1369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1181100</xdr:colOff>
      <xdr:row>10</xdr:row>
      <xdr:rowOff>495299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B14D82-D9BE-454E-9137-AE65FFACC3C7}"/>
            </a:ext>
          </a:extLst>
        </xdr:cNvPr>
        <xdr:cNvSpPr txBox="1"/>
      </xdr:nvSpPr>
      <xdr:spPr>
        <a:xfrm>
          <a:off x="558800" y="58293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3</xdr:col>
      <xdr:colOff>1168400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44C1C-53D5-9A4F-B4E2-D2D3FEF3AAC9}"/>
            </a:ext>
          </a:extLst>
        </xdr:cNvPr>
        <xdr:cNvSpPr txBox="1"/>
      </xdr:nvSpPr>
      <xdr:spPr>
        <a:xfrm>
          <a:off x="558800" y="4572000"/>
          <a:ext cx="3619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1168400</xdr:colOff>
      <xdr:row>14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7EB9C2-ACE5-364A-8AB0-42E02D3E0DD4}"/>
            </a:ext>
          </a:extLst>
        </xdr:cNvPr>
        <xdr:cNvSpPr txBox="1"/>
      </xdr:nvSpPr>
      <xdr:spPr>
        <a:xfrm>
          <a:off x="558800" y="8369300"/>
          <a:ext cx="361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1181100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46100" y="7086600"/>
          <a:ext cx="3644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6</xdr:row>
      <xdr:rowOff>139700</xdr:rowOff>
    </xdr:from>
    <xdr:to>
      <xdr:col>3</xdr:col>
      <xdr:colOff>1206500</xdr:colOff>
      <xdr:row>6</xdr:row>
      <xdr:rowOff>457199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0241EC9-52E1-6749-8E17-477CD654F133}"/>
            </a:ext>
          </a:extLst>
        </xdr:cNvPr>
        <xdr:cNvSpPr txBox="1"/>
      </xdr:nvSpPr>
      <xdr:spPr>
        <a:xfrm>
          <a:off x="533400" y="32512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6731C2-D5C2-EF4A-AAD8-5F1DE3604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tabSelected="1" zoomScaleNormal="100" workbookViewId="0">
      <pane ySplit="5" topLeftCell="A6" activePane="bottomLeft" state="frozen"/>
      <selection pane="bottomLeft" activeCell="D4" sqref="D4:H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93" t="s">
        <v>0</v>
      </c>
      <c r="D2" s="194"/>
      <c r="E2" s="194"/>
      <c r="F2" s="194"/>
      <c r="G2" s="194"/>
      <c r="H2" s="194"/>
      <c r="I2" s="195"/>
    </row>
    <row r="3" spans="2:9" s="16" customFormat="1" ht="20" customHeight="1" x14ac:dyDescent="0.15">
      <c r="C3" s="17" t="s">
        <v>1</v>
      </c>
      <c r="D3" s="142">
        <v>2025</v>
      </c>
      <c r="E3" s="19" t="s">
        <v>2</v>
      </c>
      <c r="F3" s="18" t="s">
        <v>3</v>
      </c>
      <c r="G3" s="20" t="s">
        <v>4</v>
      </c>
      <c r="H3" s="21"/>
      <c r="I3" s="22"/>
    </row>
    <row r="4" spans="2:9" ht="75" customHeight="1" x14ac:dyDescent="0.65">
      <c r="C4" s="144">
        <f>CalendarYear</f>
        <v>2025</v>
      </c>
      <c r="D4" s="199" t="s">
        <v>5</v>
      </c>
      <c r="E4" s="199"/>
      <c r="F4" s="199"/>
      <c r="G4" s="199"/>
      <c r="H4" s="199"/>
      <c r="I4" s="143"/>
    </row>
    <row r="5" spans="2:9" s="2" customFormat="1" ht="35" customHeight="1" x14ac:dyDescent="0.15">
      <c r="B5" s="84"/>
      <c r="C5" s="13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79"/>
      <c r="C6" s="186">
        <f t="array" ref="C6:I6">DaysAndWeeks+DATE(CalendarYear,1,1)-WEEKDAY(DATE(CalendarYear,1,1),(WeekStart="M")+1)+1</f>
        <v>45655</v>
      </c>
      <c r="D6" s="25">
        <v>45656</v>
      </c>
      <c r="E6" s="25">
        <v>45657</v>
      </c>
      <c r="F6" s="25">
        <v>45658</v>
      </c>
      <c r="G6" s="147">
        <v>45659</v>
      </c>
      <c r="H6" s="25">
        <v>45660</v>
      </c>
      <c r="I6" s="26">
        <v>45661</v>
      </c>
    </row>
    <row r="7" spans="2:9" s="6" customFormat="1" ht="75" customHeight="1" x14ac:dyDescent="0.15">
      <c r="B7" s="77"/>
      <c r="C7" s="160"/>
      <c r="D7" s="129">
        <v>0.625</v>
      </c>
      <c r="E7" s="55"/>
      <c r="F7" s="9"/>
      <c r="G7" s="148"/>
      <c r="H7" s="7"/>
      <c r="I7" s="8"/>
    </row>
    <row r="8" spans="2:9" s="35" customFormat="1" ht="25" customHeight="1" x14ac:dyDescent="0.2">
      <c r="B8" s="79"/>
      <c r="C8" s="23">
        <f t="array" ref="C8:I8">DaysAndWeeks+DATE(CalendarYear,1,1)-WEEKDAY(DATE(CalendarYear,1,1),(WeekStart="M")+1)+8</f>
        <v>45662</v>
      </c>
      <c r="D8" s="146">
        <v>45663</v>
      </c>
      <c r="E8" s="146">
        <v>45664</v>
      </c>
      <c r="F8" s="146">
        <v>45665</v>
      </c>
      <c r="G8" s="146">
        <v>45666</v>
      </c>
      <c r="H8" s="114">
        <v>45667</v>
      </c>
      <c r="I8" s="26">
        <v>45668</v>
      </c>
    </row>
    <row r="9" spans="2:9" s="6" customFormat="1" ht="75" customHeight="1" x14ac:dyDescent="0.15">
      <c r="B9" s="77"/>
      <c r="D9" s="129">
        <v>0.625</v>
      </c>
      <c r="E9" s="125"/>
      <c r="F9" s="12"/>
      <c r="G9" s="127"/>
      <c r="H9" s="9"/>
      <c r="I9" s="10"/>
    </row>
    <row r="10" spans="2:9" s="35" customFormat="1" ht="25" customHeight="1" x14ac:dyDescent="0.2">
      <c r="B10" s="79"/>
      <c r="C10" s="23">
        <f t="array" ref="C10:I10">DaysAndWeeks+DATE(CalendarYear,1,1)-WEEKDAY(DATE(CalendarYear,1,1),(WeekStart="M")+1)+15</f>
        <v>45669</v>
      </c>
      <c r="D10" s="24">
        <v>45670</v>
      </c>
      <c r="E10" s="24">
        <v>45671</v>
      </c>
      <c r="F10" s="24">
        <v>45672</v>
      </c>
      <c r="G10" s="27">
        <v>45673</v>
      </c>
      <c r="H10" s="28">
        <v>45674</v>
      </c>
      <c r="I10" s="26">
        <v>45675</v>
      </c>
    </row>
    <row r="11" spans="2:9" s="6" customFormat="1" ht="75" customHeight="1" x14ac:dyDescent="0.15">
      <c r="B11" s="77"/>
      <c r="D11" s="129">
        <v>0.625</v>
      </c>
      <c r="E11" s="125"/>
      <c r="F11" s="12"/>
      <c r="G11" s="126"/>
      <c r="H11" s="11"/>
      <c r="I11" s="8"/>
    </row>
    <row r="12" spans="2:9" s="35" customFormat="1" ht="25" customHeight="1" x14ac:dyDescent="0.2">
      <c r="B12" s="79"/>
      <c r="C12" s="23">
        <f t="array" ref="C12:I12">DaysAndWeeks+DATE(CalendarYear,1,1)-WEEKDAY(DATE(CalendarYear,1,1),(WeekStart="M")+1)+22</f>
        <v>45676</v>
      </c>
      <c r="D12" s="24">
        <v>45677</v>
      </c>
      <c r="E12" s="24">
        <v>45678</v>
      </c>
      <c r="F12" s="24">
        <v>45679</v>
      </c>
      <c r="G12" s="24">
        <v>45680</v>
      </c>
      <c r="H12" s="25">
        <v>45681</v>
      </c>
      <c r="I12" s="26">
        <v>45682</v>
      </c>
    </row>
    <row r="13" spans="2:9" s="6" customFormat="1" ht="75" customHeight="1" x14ac:dyDescent="0.15">
      <c r="B13" s="77"/>
      <c r="D13" s="129">
        <v>0.625</v>
      </c>
      <c r="E13" s="125"/>
      <c r="F13" s="12"/>
      <c r="G13" s="127"/>
      <c r="H13" s="9"/>
      <c r="I13" s="10"/>
    </row>
    <row r="14" spans="2:9" s="35" customFormat="1" ht="25" customHeight="1" x14ac:dyDescent="0.2">
      <c r="B14" s="79"/>
      <c r="C14" s="23">
        <f t="array" ref="C14:I14">DaysAndWeeks+DATE(CalendarYear,1,1)-WEEKDAY(DATE(CalendarYear,1,1),(WeekStart="M")+1)+29</f>
        <v>45683</v>
      </c>
      <c r="D14" s="24">
        <v>45684</v>
      </c>
      <c r="E14" s="24">
        <v>45685</v>
      </c>
      <c r="F14" s="24">
        <v>45686</v>
      </c>
      <c r="G14" s="178">
        <v>45687</v>
      </c>
      <c r="H14" s="178">
        <v>45688</v>
      </c>
      <c r="I14" s="187">
        <v>45689</v>
      </c>
    </row>
    <row r="15" spans="2:9" s="6" customFormat="1" ht="75" customHeight="1" x14ac:dyDescent="0.15">
      <c r="B15" s="77"/>
      <c r="D15" s="129">
        <v>0.625</v>
      </c>
      <c r="E15" s="125"/>
      <c r="F15" s="12"/>
      <c r="G15" s="188"/>
      <c r="H15" s="189"/>
      <c r="I15" s="190"/>
    </row>
    <row r="16" spans="2:9" s="35" customFormat="1" ht="25" customHeight="1" x14ac:dyDescent="0.2">
      <c r="B16" s="79"/>
      <c r="C16" s="186">
        <f t="array" ref="C16:I16">DaysAndWeeks+DATE(CalendarYear,1,1)-WEEKDAY(DATE(CalendarYear,1,1),(WeekStart="M")+1)+36</f>
        <v>45690</v>
      </c>
      <c r="D16" s="178">
        <v>45691</v>
      </c>
      <c r="E16" s="29">
        <v>45692</v>
      </c>
      <c r="F16" s="29">
        <v>45693</v>
      </c>
      <c r="G16" s="29">
        <v>45694</v>
      </c>
      <c r="H16" s="29">
        <v>45695</v>
      </c>
      <c r="I16" s="30">
        <v>45696</v>
      </c>
    </row>
    <row r="17" spans="2:9" s="6" customFormat="1" ht="75" customHeight="1" x14ac:dyDescent="0.2">
      <c r="B17" s="77"/>
      <c r="C17" s="191"/>
      <c r="D17" s="192"/>
      <c r="E17" s="4"/>
      <c r="F17" s="4"/>
      <c r="G17" s="4"/>
      <c r="H17" s="4"/>
      <c r="I17" s="5"/>
    </row>
    <row r="18" spans="2:9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:I17 C18">
    <cfRule type="expression" dxfId="37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6" activePane="bottomLeft" state="frozen"/>
      <selection pane="bottomLeft" activeCell="K6" sqref="K6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3"/>
      <c r="D1" s="83"/>
      <c r="E1" s="83"/>
      <c r="F1" s="83"/>
      <c r="G1" s="83"/>
      <c r="H1" s="83"/>
      <c r="I1" s="83"/>
    </row>
    <row r="2" spans="2:9" ht="75" customHeight="1" thickTop="1" x14ac:dyDescent="0.15">
      <c r="B2" s="78"/>
      <c r="C2" s="193" t="s">
        <v>0</v>
      </c>
      <c r="D2" s="194"/>
      <c r="E2" s="194"/>
      <c r="F2" s="194"/>
      <c r="G2" s="194"/>
      <c r="H2" s="194"/>
      <c r="I2" s="195"/>
    </row>
    <row r="3" spans="2:9" ht="20" customHeight="1" x14ac:dyDescent="0.15">
      <c r="B3" s="78"/>
      <c r="C3" s="50"/>
      <c r="D3" s="32"/>
      <c r="E3" s="32"/>
      <c r="F3" s="32"/>
      <c r="G3" s="50" t="s">
        <v>7</v>
      </c>
      <c r="H3" s="50" t="s">
        <v>8</v>
      </c>
      <c r="I3" s="91"/>
    </row>
    <row r="4" spans="2:9" ht="75" customHeight="1" x14ac:dyDescent="0.65">
      <c r="B4" s="78"/>
      <c r="C4" s="144">
        <f>CalendarYear</f>
        <v>2025</v>
      </c>
      <c r="D4" s="200" t="s">
        <v>9</v>
      </c>
      <c r="E4" s="200"/>
      <c r="F4" s="200"/>
      <c r="G4" s="200"/>
      <c r="H4" s="200"/>
      <c r="I4" s="145"/>
    </row>
    <row r="5" spans="2:9" ht="35" customHeight="1" x14ac:dyDescent="0.15">
      <c r="B5" s="78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1"/>
      <c r="C6" s="52">
        <f t="array" ref="C6:I6">DaysAndWeeks+DATE(CalendarYear,2,1)-WEEKDAY(DATE(CalendarYear,2,1),(WeekStart="M")+1)+1</f>
        <v>45683</v>
      </c>
      <c r="D6" s="43">
        <v>45684</v>
      </c>
      <c r="E6" s="41">
        <v>45685</v>
      </c>
      <c r="F6" s="41">
        <v>45686</v>
      </c>
      <c r="G6" s="114">
        <v>45687</v>
      </c>
      <c r="H6" s="114">
        <v>45688</v>
      </c>
      <c r="I6" s="115">
        <v>45689</v>
      </c>
    </row>
    <row r="7" spans="2:9" s="6" customFormat="1" ht="75" customHeight="1" x14ac:dyDescent="0.15">
      <c r="B7" s="77"/>
      <c r="C7" s="51"/>
      <c r="D7" s="34"/>
      <c r="E7" s="158"/>
      <c r="F7" s="159"/>
      <c r="H7" s="116"/>
      <c r="I7" s="117"/>
    </row>
    <row r="8" spans="2:9" s="37" customFormat="1" ht="25" customHeight="1" x14ac:dyDescent="0.2">
      <c r="B8" s="81"/>
      <c r="C8" s="120">
        <f t="array" ref="C8:I8">DaysAndWeeks+DATE(CalendarYear,2,1)-WEEKDAY(DATE(CalendarYear,2,1),(WeekStart="M")+1)+8</f>
        <v>45690</v>
      </c>
      <c r="D8" s="114">
        <v>45691</v>
      </c>
      <c r="E8" s="118">
        <v>45692</v>
      </c>
      <c r="F8" s="118">
        <v>45693</v>
      </c>
      <c r="G8" s="118">
        <v>45694</v>
      </c>
      <c r="H8" s="118">
        <v>45695</v>
      </c>
      <c r="I8" s="115">
        <v>45696</v>
      </c>
    </row>
    <row r="9" spans="2:9" s="57" customFormat="1" ht="75" customHeight="1" x14ac:dyDescent="0.15">
      <c r="B9" s="86"/>
      <c r="D9" s="129">
        <v>0.625</v>
      </c>
      <c r="E9" s="131"/>
      <c r="F9" s="119"/>
      <c r="G9" s="131"/>
      <c r="H9" s="119"/>
      <c r="I9" s="87"/>
    </row>
    <row r="10" spans="2:9" s="37" customFormat="1" ht="25" customHeight="1" x14ac:dyDescent="0.2">
      <c r="B10" s="81"/>
      <c r="C10" s="120">
        <f t="array" ref="C10:I10">DaysAndWeeks+DATE(CalendarYear,2,1)-WEEKDAY(DATE(CalendarYear,2,1),(WeekStart="M")+1)+15</f>
        <v>45697</v>
      </c>
      <c r="D10" s="114">
        <v>45698</v>
      </c>
      <c r="E10" s="114">
        <v>45699</v>
      </c>
      <c r="F10" s="114">
        <v>45700</v>
      </c>
      <c r="G10" s="114">
        <v>45701</v>
      </c>
      <c r="H10" s="114">
        <v>45702</v>
      </c>
      <c r="I10" s="115">
        <v>45703</v>
      </c>
    </row>
    <row r="11" spans="2:9" s="57" customFormat="1" ht="75" customHeight="1" x14ac:dyDescent="0.15">
      <c r="B11" s="86"/>
      <c r="C11" s="130"/>
      <c r="D11" s="130">
        <v>0.625</v>
      </c>
      <c r="E11" s="132"/>
      <c r="F11" s="138"/>
      <c r="G11" s="132"/>
      <c r="H11" s="56"/>
      <c r="I11" s="87"/>
    </row>
    <row r="12" spans="2:9" s="35" customFormat="1" ht="25" customHeight="1" x14ac:dyDescent="0.2">
      <c r="B12" s="79"/>
      <c r="C12" s="120">
        <f t="array" ref="C12:I12">DaysAndWeeks+DATE(CalendarYear,2,1)-WEEKDAY(DATE(CalendarYear,2,1),(WeekStart="M")+1)+22</f>
        <v>45704</v>
      </c>
      <c r="D12" s="114">
        <v>45705</v>
      </c>
      <c r="E12" s="114">
        <v>45706</v>
      </c>
      <c r="F12" s="114">
        <v>45707</v>
      </c>
      <c r="G12" s="114">
        <v>45708</v>
      </c>
      <c r="H12" s="114">
        <v>45709</v>
      </c>
      <c r="I12" s="115">
        <v>45710</v>
      </c>
    </row>
    <row r="13" spans="2:9" s="57" customFormat="1" ht="75" customHeight="1" x14ac:dyDescent="0.15">
      <c r="B13" s="86"/>
      <c r="C13" s="130"/>
      <c r="D13" s="132">
        <v>0.625</v>
      </c>
      <c r="F13" s="56"/>
      <c r="G13" s="132"/>
      <c r="H13" s="56"/>
      <c r="I13" s="87"/>
    </row>
    <row r="14" spans="2:9" s="35" customFormat="1" ht="25" customHeight="1" x14ac:dyDescent="0.2">
      <c r="B14" s="79"/>
      <c r="C14" s="120">
        <f t="array" ref="C14:I14">DaysAndWeeks+DATE(CalendarYear,2,1)-WEEKDAY(DATE(CalendarYear,2,1),(WeekStart="M")+1)+29</f>
        <v>45711</v>
      </c>
      <c r="D14" s="114">
        <v>45712</v>
      </c>
      <c r="E14" s="155">
        <v>45713</v>
      </c>
      <c r="F14" s="155">
        <v>45714</v>
      </c>
      <c r="G14" s="155">
        <v>45715</v>
      </c>
      <c r="H14" s="42">
        <v>45716</v>
      </c>
      <c r="I14" s="88">
        <v>45717</v>
      </c>
    </row>
    <row r="15" spans="2:9" s="57" customFormat="1" ht="75" customHeight="1" x14ac:dyDescent="0.15">
      <c r="B15" s="86"/>
      <c r="D15" s="130">
        <v>0.625</v>
      </c>
      <c r="E15" s="156"/>
      <c r="F15" s="157"/>
      <c r="G15" s="157"/>
      <c r="H15" s="60"/>
      <c r="I15" s="89"/>
    </row>
    <row r="16" spans="2:9" s="35" customFormat="1" ht="25" customHeight="1" x14ac:dyDescent="0.2">
      <c r="B16" s="79"/>
      <c r="C16" s="85">
        <f t="array" ref="C16:I16">DaysAndWeeks+DATE(CalendarYear,2,1)-WEEKDAY(DATE(CalendarYear,2,1),(WeekStart="M")+1)+36</f>
        <v>45718</v>
      </c>
      <c r="D16" s="41">
        <v>45719</v>
      </c>
      <c r="E16" s="41">
        <v>45720</v>
      </c>
      <c r="F16" s="41">
        <v>45721</v>
      </c>
      <c r="G16" s="41">
        <v>45722</v>
      </c>
      <c r="H16" s="41">
        <v>45723</v>
      </c>
      <c r="I16" s="90">
        <v>45724</v>
      </c>
    </row>
    <row r="17" spans="2:9" s="6" customFormat="1" ht="75" customHeight="1" x14ac:dyDescent="0.15">
      <c r="B17" s="77"/>
      <c r="C17" s="51"/>
      <c r="D17" s="3"/>
      <c r="E17" s="3"/>
      <c r="F17" s="3"/>
      <c r="G17" s="3"/>
      <c r="H17" s="3"/>
      <c r="I17" s="98"/>
    </row>
    <row r="18" spans="2:9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4 D15 F15:I15 C16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6" sqref="K6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3"/>
      <c r="D1" s="83"/>
      <c r="E1" s="83"/>
      <c r="F1" s="83"/>
      <c r="G1" s="83"/>
      <c r="H1" s="83"/>
      <c r="I1" s="83"/>
    </row>
    <row r="2" spans="2:9" ht="75" customHeight="1" thickTop="1" x14ac:dyDescent="0.15">
      <c r="B2" s="78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15">
      <c r="B3" s="78"/>
      <c r="C3" s="33"/>
      <c r="D3" s="31"/>
      <c r="E3" s="31"/>
      <c r="F3" s="32"/>
      <c r="G3" s="50" t="s">
        <v>10</v>
      </c>
      <c r="H3" s="50" t="s">
        <v>11</v>
      </c>
      <c r="I3" s="96"/>
    </row>
    <row r="4" spans="2:9" ht="75" customHeight="1" x14ac:dyDescent="0.65">
      <c r="B4" s="78"/>
      <c r="C4" s="144">
        <f>CalendarYear</f>
        <v>2025</v>
      </c>
      <c r="D4" s="200" t="s">
        <v>12</v>
      </c>
      <c r="E4" s="200"/>
      <c r="F4" s="200"/>
      <c r="G4" s="200"/>
      <c r="H4" s="200"/>
      <c r="I4" s="145"/>
    </row>
    <row r="5" spans="2:9" ht="35" customHeight="1" x14ac:dyDescent="0.15">
      <c r="B5" s="78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79"/>
      <c r="C6" s="68">
        <f t="array" ref="C6:I6">DaysAndWeeks+DATE(CalendarYear,3,1)-WEEKDAY(DATE(CalendarYear,3,1),(WeekStart="M")+1)+1</f>
        <v>45711</v>
      </c>
      <c r="D6" s="38">
        <v>45712</v>
      </c>
      <c r="E6" s="41">
        <v>45713</v>
      </c>
      <c r="F6" s="41">
        <v>45714</v>
      </c>
      <c r="G6" s="41">
        <v>45715</v>
      </c>
      <c r="H6" s="36">
        <v>45716</v>
      </c>
      <c r="I6" s="72">
        <v>45717</v>
      </c>
    </row>
    <row r="7" spans="2:9" s="57" customFormat="1" ht="75" customHeight="1" x14ac:dyDescent="0.15">
      <c r="B7" s="86"/>
      <c r="C7" s="97"/>
      <c r="D7" s="59"/>
      <c r="E7" s="149"/>
      <c r="F7" s="60"/>
      <c r="G7" s="149"/>
      <c r="H7" s="56"/>
      <c r="I7" s="87"/>
    </row>
    <row r="8" spans="2:9" s="35" customFormat="1" ht="25" customHeight="1" x14ac:dyDescent="0.2">
      <c r="B8" s="79"/>
      <c r="C8" s="39">
        <f t="array" ref="C8:I8">DaysAndWeeks+DATE(CalendarYear,3,1)-WEEKDAY(DATE(CalendarYear,3,1),(WeekStart="M")+1)+8</f>
        <v>45718</v>
      </c>
      <c r="D8" s="36">
        <v>45719</v>
      </c>
      <c r="E8" s="36">
        <v>45720</v>
      </c>
      <c r="F8" s="36">
        <v>45721</v>
      </c>
      <c r="G8" s="39">
        <v>45722</v>
      </c>
      <c r="H8" s="36">
        <v>45723</v>
      </c>
      <c r="I8" s="72">
        <v>45724</v>
      </c>
    </row>
    <row r="9" spans="2:9" s="57" customFormat="1" ht="75" customHeight="1" x14ac:dyDescent="0.15">
      <c r="B9" s="86"/>
      <c r="D9" s="130">
        <v>0.625</v>
      </c>
      <c r="E9" s="132"/>
      <c r="F9" s="56"/>
      <c r="G9" s="133"/>
      <c r="H9" s="56"/>
      <c r="I9" s="87"/>
    </row>
    <row r="10" spans="2:9" s="35" customFormat="1" ht="25" customHeight="1" x14ac:dyDescent="0.2">
      <c r="B10" s="79"/>
      <c r="C10" s="39">
        <f t="array" ref="C10:I10">DaysAndWeeks+DATE(CalendarYear,3,1)-WEEKDAY(DATE(CalendarYear,3,1),(WeekStart="M")+1)+15</f>
        <v>45725</v>
      </c>
      <c r="D10" s="36">
        <v>45726</v>
      </c>
      <c r="E10" s="36">
        <v>45727</v>
      </c>
      <c r="F10" s="36">
        <v>45728</v>
      </c>
      <c r="G10" s="36">
        <v>45729</v>
      </c>
      <c r="H10" s="36">
        <v>45730</v>
      </c>
      <c r="I10" s="72">
        <v>45731</v>
      </c>
    </row>
    <row r="11" spans="2:9" s="57" customFormat="1" ht="75" customHeight="1" x14ac:dyDescent="0.15">
      <c r="B11" s="86"/>
      <c r="D11" s="130">
        <v>0.625</v>
      </c>
      <c r="E11" s="132"/>
      <c r="F11" s="56"/>
      <c r="G11" s="58"/>
      <c r="H11" s="56"/>
      <c r="I11" s="87"/>
    </row>
    <row r="12" spans="2:9" s="35" customFormat="1" ht="25" customHeight="1" x14ac:dyDescent="0.2">
      <c r="B12" s="79"/>
      <c r="C12" s="39">
        <f t="array" ref="C12:I12">DaysAndWeeks+DATE(CalendarYear,3,1)-WEEKDAY(DATE(CalendarYear,3,1),(WeekStart="M")+1)+22</f>
        <v>45732</v>
      </c>
      <c r="D12" s="36">
        <v>45733</v>
      </c>
      <c r="E12" s="36">
        <v>45734</v>
      </c>
      <c r="F12" s="36">
        <v>45735</v>
      </c>
      <c r="G12" s="36">
        <v>45736</v>
      </c>
      <c r="H12" s="40">
        <v>45737</v>
      </c>
      <c r="I12" s="92">
        <v>45738</v>
      </c>
    </row>
    <row r="13" spans="2:9" s="57" customFormat="1" ht="75" customHeight="1" x14ac:dyDescent="0.15">
      <c r="B13" s="86"/>
      <c r="D13" s="130">
        <v>0.625</v>
      </c>
      <c r="E13" s="132"/>
      <c r="F13" s="56"/>
      <c r="G13" s="132"/>
      <c r="H13" s="56"/>
      <c r="I13" s="87"/>
    </row>
    <row r="14" spans="2:9" s="35" customFormat="1" ht="25" customHeight="1" x14ac:dyDescent="0.2">
      <c r="B14" s="79"/>
      <c r="C14" s="46">
        <f t="array" ref="C14:I14">DaysAndWeeks+DATE(CalendarYear,3,1)-WEEKDAY(DATE(CalendarYear,3,1),(WeekStart="M")+1)+29</f>
        <v>45739</v>
      </c>
      <c r="D14" s="36">
        <v>45740</v>
      </c>
      <c r="E14" s="36">
        <v>45741</v>
      </c>
      <c r="F14" s="36">
        <v>45742</v>
      </c>
      <c r="G14" s="46">
        <v>45743</v>
      </c>
      <c r="H14" s="150">
        <v>45744</v>
      </c>
      <c r="I14" s="151">
        <v>45745</v>
      </c>
    </row>
    <row r="15" spans="2:9" s="57" customFormat="1" ht="75" customHeight="1" x14ac:dyDescent="0.15">
      <c r="B15" s="86"/>
      <c r="D15" s="130">
        <v>0.625</v>
      </c>
      <c r="E15" s="132"/>
      <c r="F15" s="56"/>
      <c r="G15" s="130"/>
      <c r="H15" s="152"/>
      <c r="I15" s="153"/>
    </row>
    <row r="16" spans="2:9" s="35" customFormat="1" ht="25" customHeight="1" x14ac:dyDescent="0.2">
      <c r="B16" s="79"/>
      <c r="C16" s="150">
        <f t="array" ref="C16:I16">DaysAndWeeks+DATE(CalendarYear,3,1)-WEEKDAY(DATE(CalendarYear,3,1),(WeekStart="M")+1)+36</f>
        <v>45746</v>
      </c>
      <c r="D16" s="38">
        <v>45747</v>
      </c>
      <c r="E16" s="38">
        <v>45748</v>
      </c>
      <c r="F16" s="38">
        <v>45749</v>
      </c>
      <c r="G16" s="38">
        <v>45750</v>
      </c>
      <c r="H16" s="38">
        <v>45751</v>
      </c>
      <c r="I16" s="74">
        <v>45752</v>
      </c>
    </row>
    <row r="17" spans="2:9" s="6" customFormat="1" ht="75" customHeight="1" x14ac:dyDescent="0.15">
      <c r="B17" s="77"/>
      <c r="C17" s="154"/>
      <c r="D17" s="44"/>
      <c r="E17" s="160"/>
      <c r="F17" s="44"/>
      <c r="G17" s="44"/>
      <c r="H17" s="44"/>
      <c r="I17" s="95"/>
    </row>
    <row r="18" spans="2:9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4 D15:I15 C16:I16 C17:D17 F17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5" sqref="K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3"/>
      <c r="D1" s="83"/>
      <c r="E1" s="83"/>
      <c r="F1" s="83"/>
      <c r="G1" s="83"/>
      <c r="H1" s="83"/>
      <c r="I1" s="83"/>
    </row>
    <row r="2" spans="2:9" ht="75" customHeight="1" thickTop="1" x14ac:dyDescent="0.15">
      <c r="B2" s="78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15">
      <c r="B3" s="78"/>
      <c r="C3" s="20"/>
      <c r="D3" s="20"/>
      <c r="E3" s="47"/>
      <c r="F3" s="47"/>
      <c r="G3" s="20" t="s">
        <v>13</v>
      </c>
      <c r="H3" s="20" t="s">
        <v>14</v>
      </c>
      <c r="I3" s="100"/>
    </row>
    <row r="4" spans="2:9" ht="75" customHeight="1" x14ac:dyDescent="0.65">
      <c r="B4" s="78"/>
      <c r="C4" s="144">
        <f>CalendarYear</f>
        <v>2025</v>
      </c>
      <c r="D4" s="204" t="s">
        <v>15</v>
      </c>
      <c r="E4" s="204"/>
      <c r="F4" s="204"/>
      <c r="G4" s="204"/>
      <c r="H4" s="204"/>
      <c r="I4" s="145"/>
    </row>
    <row r="5" spans="2:9" ht="35" customHeight="1" x14ac:dyDescent="0.15">
      <c r="B5" s="78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79"/>
      <c r="C6" s="45">
        <f t="array" ref="C6:I6">DaysAndWeeks+DATE(CalendarYear,4,1)-WEEKDAY(DATE(CalendarYear,4,1),(WeekStart="M")+1)+1</f>
        <v>45746</v>
      </c>
      <c r="D6" s="146">
        <v>45747</v>
      </c>
      <c r="E6" s="146">
        <v>45748</v>
      </c>
      <c r="F6" s="146">
        <v>45749</v>
      </c>
      <c r="G6" s="146">
        <v>45750</v>
      </c>
      <c r="H6" s="36">
        <v>45751</v>
      </c>
      <c r="I6" s="72">
        <v>45752</v>
      </c>
    </row>
    <row r="7" spans="2:9" s="57" customFormat="1" ht="75" customHeight="1" x14ac:dyDescent="0.15">
      <c r="B7" s="86"/>
      <c r="C7" s="61"/>
      <c r="D7" s="130">
        <v>0.625</v>
      </c>
      <c r="E7" s="161"/>
      <c r="F7" s="157"/>
      <c r="G7" s="162"/>
      <c r="H7" s="56"/>
      <c r="I7" s="87"/>
    </row>
    <row r="8" spans="2:9" s="35" customFormat="1" ht="25" customHeight="1" x14ac:dyDescent="0.2">
      <c r="B8" s="79"/>
      <c r="C8" s="39">
        <f t="array" ref="C8:I8">DaysAndWeeks+DATE(CalendarYear,4,1)-WEEKDAY(DATE(CalendarYear,4,1),(WeekStart="M")+1)+8</f>
        <v>45753</v>
      </c>
      <c r="D8" s="36">
        <v>45754</v>
      </c>
      <c r="E8" s="36">
        <v>45755</v>
      </c>
      <c r="F8" s="36">
        <v>45756</v>
      </c>
      <c r="G8" s="36">
        <v>45757</v>
      </c>
      <c r="H8" s="36">
        <v>45758</v>
      </c>
      <c r="I8" s="72">
        <v>45759</v>
      </c>
    </row>
    <row r="9" spans="2:9" s="57" customFormat="1" ht="75" customHeight="1" x14ac:dyDescent="0.15">
      <c r="B9" s="86"/>
      <c r="C9" s="134"/>
      <c r="D9" s="130">
        <v>0.625</v>
      </c>
      <c r="E9" s="132"/>
      <c r="F9" s="56"/>
      <c r="G9" s="134"/>
      <c r="H9" s="56"/>
      <c r="I9" s="87"/>
    </row>
    <row r="10" spans="2:9" s="35" customFormat="1" ht="25" customHeight="1" x14ac:dyDescent="0.2">
      <c r="B10" s="79"/>
      <c r="C10" s="39">
        <f t="array" ref="C10:I10">DaysAndWeeks+DATE(CalendarYear,4,1)-WEEKDAY(DATE(CalendarYear,4,1),(WeekStart="M")+1)+15</f>
        <v>45760</v>
      </c>
      <c r="D10" s="36">
        <v>45761</v>
      </c>
      <c r="E10" s="36">
        <v>45762</v>
      </c>
      <c r="F10" s="36">
        <v>45763</v>
      </c>
      <c r="G10" s="36">
        <v>45764</v>
      </c>
      <c r="H10" s="36">
        <v>45765</v>
      </c>
      <c r="I10" s="72">
        <v>45766</v>
      </c>
    </row>
    <row r="11" spans="2:9" s="57" customFormat="1" ht="75" customHeight="1" x14ac:dyDescent="0.15">
      <c r="B11" s="86"/>
      <c r="C11" s="130"/>
      <c r="D11" s="130">
        <v>0.625</v>
      </c>
      <c r="E11" s="132"/>
      <c r="F11" s="56"/>
      <c r="G11" s="58"/>
      <c r="H11" s="56"/>
      <c r="I11" s="87"/>
    </row>
    <row r="12" spans="2:9" s="35" customFormat="1" ht="25" customHeight="1" x14ac:dyDescent="0.2">
      <c r="B12" s="79"/>
      <c r="C12" s="39">
        <f t="array" ref="C12:I12">DaysAndWeeks+DATE(CalendarYear,4,1)-WEEKDAY(DATE(CalendarYear,4,1),(WeekStart="M")+1)+22</f>
        <v>45767</v>
      </c>
      <c r="D12" s="36">
        <v>45768</v>
      </c>
      <c r="E12" s="36">
        <v>45769</v>
      </c>
      <c r="F12" s="36">
        <v>45770</v>
      </c>
      <c r="G12" s="36">
        <v>45771</v>
      </c>
      <c r="H12" s="36">
        <v>45772</v>
      </c>
      <c r="I12" s="72">
        <v>45773</v>
      </c>
    </row>
    <row r="13" spans="2:9" s="57" customFormat="1" ht="75" customHeight="1" x14ac:dyDescent="0.15">
      <c r="B13" s="86"/>
      <c r="C13" s="134"/>
      <c r="D13" s="130">
        <v>0.625</v>
      </c>
      <c r="E13" s="132"/>
      <c r="F13" s="56"/>
      <c r="G13" s="134"/>
      <c r="H13" s="56"/>
      <c r="I13" s="87"/>
    </row>
    <row r="14" spans="2:9" s="35" customFormat="1" ht="25" customHeight="1" x14ac:dyDescent="0.2">
      <c r="B14" s="79"/>
      <c r="C14" s="39">
        <f t="array" ref="C14:I14">DaysAndWeeks+DATE(CalendarYear,4,1)-WEEKDAY(DATE(CalendarYear,4,1),(WeekStart="M")+1)+29</f>
        <v>45774</v>
      </c>
      <c r="D14" s="36">
        <v>45775</v>
      </c>
      <c r="E14" s="36">
        <v>45776</v>
      </c>
      <c r="F14" s="41">
        <v>45777</v>
      </c>
      <c r="G14" s="41">
        <v>45778</v>
      </c>
      <c r="H14" s="41">
        <v>45779</v>
      </c>
      <c r="I14" s="90">
        <v>45780</v>
      </c>
    </row>
    <row r="15" spans="2:9" s="57" customFormat="1" ht="75" customHeight="1" x14ac:dyDescent="0.15">
      <c r="B15" s="86"/>
      <c r="C15" s="130"/>
      <c r="D15" s="130">
        <v>0.625</v>
      </c>
      <c r="E15" s="134"/>
      <c r="F15" s="60"/>
      <c r="G15" s="149"/>
      <c r="H15" s="60"/>
      <c r="I15" s="89"/>
    </row>
    <row r="16" spans="2:9" s="35" customFormat="1" ht="25" customHeight="1" x14ac:dyDescent="0.2">
      <c r="B16" s="79"/>
      <c r="C16" s="53">
        <f t="array" ref="C16:I16">DaysAndWeeks+DATE(CalendarYear,4,1)-WEEKDAY(DATE(CalendarYear,4,1),(WeekStart="M")+1)+36</f>
        <v>45781</v>
      </c>
      <c r="D16" s="54">
        <v>45782</v>
      </c>
      <c r="E16" s="54">
        <v>45783</v>
      </c>
      <c r="F16" s="54">
        <v>45784</v>
      </c>
      <c r="G16" s="54">
        <v>45785</v>
      </c>
      <c r="H16" s="54">
        <v>45786</v>
      </c>
      <c r="I16" s="99">
        <v>45787</v>
      </c>
    </row>
    <row r="17" spans="2:9" s="6" customFormat="1" ht="75" customHeight="1" x14ac:dyDescent="0.15">
      <c r="B17" s="77"/>
      <c r="C17" s="94"/>
      <c r="D17" s="44"/>
      <c r="E17" s="44"/>
      <c r="F17" s="44"/>
      <c r="G17" s="44"/>
      <c r="H17" s="44"/>
      <c r="I17" s="95"/>
    </row>
    <row r="18" spans="2:9" ht="125" customHeight="1" thickBot="1" x14ac:dyDescent="0.2">
      <c r="B18" s="78"/>
      <c r="C18" s="201" t="s">
        <v>6</v>
      </c>
      <c r="D18" s="202"/>
      <c r="E18" s="202"/>
      <c r="F18" s="202"/>
      <c r="G18" s="202"/>
      <c r="H18" s="202"/>
      <c r="I18" s="20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F15:I15 C16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5" sqref="K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3"/>
      <c r="D1" s="83"/>
      <c r="E1" s="83"/>
      <c r="F1" s="83"/>
      <c r="G1" s="83"/>
      <c r="H1" s="83"/>
      <c r="I1" s="83"/>
    </row>
    <row r="2" spans="2:9" ht="75" customHeight="1" thickTop="1" x14ac:dyDescent="0.15">
      <c r="B2" s="78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3">
      <c r="B3" s="78"/>
      <c r="C3" s="62"/>
      <c r="D3" s="63"/>
      <c r="E3" s="63"/>
      <c r="F3" s="31"/>
      <c r="G3" s="20" t="s">
        <v>16</v>
      </c>
      <c r="H3" s="20" t="s">
        <v>17</v>
      </c>
      <c r="I3" s="82"/>
    </row>
    <row r="4" spans="2:9" ht="75" customHeight="1" x14ac:dyDescent="0.65">
      <c r="B4" s="78"/>
      <c r="C4" s="144">
        <f>CalendarYear</f>
        <v>2025</v>
      </c>
      <c r="D4" s="204" t="s">
        <v>18</v>
      </c>
      <c r="E4" s="204"/>
      <c r="F4" s="204"/>
      <c r="G4" s="204"/>
      <c r="H4" s="204"/>
      <c r="I4" s="145"/>
    </row>
    <row r="5" spans="2:9" ht="35" customHeight="1" x14ac:dyDescent="0.15">
      <c r="B5" s="78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1"/>
      <c r="C6" s="163">
        <f t="array" ref="C6:I6">DaysAndWeeks+DATE(CalendarYear,5,1)-WEEKDAY(DATE(CalendarYear,5,1),(WeekStart="M")+1)+1</f>
        <v>45774</v>
      </c>
      <c r="D6" s="41">
        <v>45775</v>
      </c>
      <c r="E6" s="164">
        <v>45776</v>
      </c>
      <c r="F6" s="121">
        <v>45777</v>
      </c>
      <c r="G6" s="121">
        <v>45778</v>
      </c>
      <c r="H6" s="121">
        <v>45779</v>
      </c>
      <c r="I6" s="122">
        <v>45780</v>
      </c>
    </row>
    <row r="7" spans="2:9" s="57" customFormat="1" ht="75" customHeight="1" x14ac:dyDescent="0.15">
      <c r="B7" s="86"/>
      <c r="C7" s="165"/>
      <c r="D7" s="166"/>
      <c r="E7" s="167"/>
      <c r="F7" s="56"/>
      <c r="G7" s="135"/>
      <c r="H7" s="56"/>
      <c r="I7" s="87"/>
    </row>
    <row r="8" spans="2:9" s="37" customFormat="1" ht="25" customHeight="1" x14ac:dyDescent="0.2">
      <c r="B8" s="81"/>
      <c r="C8" s="120">
        <f t="array" ref="C8:I8">DaysAndWeeks+DATE(CalendarYear,5,1)-WEEKDAY(DATE(CalendarYear,5,1),(WeekStart="M")+1)+8</f>
        <v>45781</v>
      </c>
      <c r="D8" s="114">
        <v>45782</v>
      </c>
      <c r="E8" s="114">
        <v>45783</v>
      </c>
      <c r="F8" s="114">
        <v>45784</v>
      </c>
      <c r="G8" s="114">
        <v>45785</v>
      </c>
      <c r="H8" s="114">
        <v>45786</v>
      </c>
      <c r="I8" s="115">
        <v>45787</v>
      </c>
    </row>
    <row r="9" spans="2:9" s="57" customFormat="1" ht="75" customHeight="1" x14ac:dyDescent="0.15">
      <c r="B9" s="86"/>
      <c r="C9" s="134"/>
      <c r="D9" s="130">
        <v>0.625</v>
      </c>
      <c r="E9" s="135"/>
      <c r="F9" s="56"/>
      <c r="G9" s="135"/>
      <c r="H9" s="56"/>
      <c r="I9" s="87"/>
    </row>
    <row r="10" spans="2:9" s="37" customFormat="1" ht="25" customHeight="1" x14ac:dyDescent="0.2">
      <c r="B10" s="81"/>
      <c r="C10" s="120">
        <f t="array" ref="C10:I10">DaysAndWeeks+DATE(CalendarYear,5,1)-WEEKDAY(DATE(CalendarYear,5,1),(WeekStart="M")+1)+15</f>
        <v>45788</v>
      </c>
      <c r="D10" s="114">
        <v>45789</v>
      </c>
      <c r="E10" s="114">
        <v>45790</v>
      </c>
      <c r="F10" s="123">
        <v>45791</v>
      </c>
      <c r="G10" s="114">
        <v>45792</v>
      </c>
      <c r="H10" s="114">
        <v>45793</v>
      </c>
      <c r="I10" s="115">
        <v>45794</v>
      </c>
    </row>
    <row r="11" spans="2:9" s="57" customFormat="1" ht="75" customHeight="1" x14ac:dyDescent="0.15">
      <c r="B11" s="86"/>
      <c r="C11" s="134"/>
      <c r="D11" s="130">
        <v>0.625</v>
      </c>
      <c r="E11" s="135"/>
      <c r="F11" s="124"/>
      <c r="G11" s="135"/>
      <c r="H11" s="56"/>
      <c r="I11" s="87"/>
    </row>
    <row r="12" spans="2:9" s="37" customFormat="1" ht="25" customHeight="1" x14ac:dyDescent="0.2">
      <c r="B12" s="81"/>
      <c r="C12" s="120">
        <f t="array" ref="C12:I12">DaysAndWeeks+DATE(CalendarYear,5,1)-WEEKDAY(DATE(CalendarYear,5,1),(WeekStart="M")+1)+22</f>
        <v>45795</v>
      </c>
      <c r="D12" s="114">
        <v>45796</v>
      </c>
      <c r="E12" s="114">
        <v>45797</v>
      </c>
      <c r="F12" s="114">
        <v>45798</v>
      </c>
      <c r="G12" s="114">
        <v>45799</v>
      </c>
      <c r="H12" s="114">
        <v>45800</v>
      </c>
      <c r="I12" s="115">
        <v>45801</v>
      </c>
    </row>
    <row r="13" spans="2:9" s="57" customFormat="1" ht="75" customHeight="1" x14ac:dyDescent="0.15">
      <c r="B13" s="86"/>
      <c r="C13" s="134"/>
      <c r="D13" s="130">
        <v>0.625</v>
      </c>
      <c r="E13" s="135"/>
      <c r="F13" s="56"/>
      <c r="G13" s="135"/>
      <c r="H13" s="56"/>
      <c r="I13" s="87"/>
    </row>
    <row r="14" spans="2:9" s="37" customFormat="1" ht="25" customHeight="1" x14ac:dyDescent="0.2">
      <c r="B14" s="81"/>
      <c r="C14" s="120">
        <f t="array" ref="C14:I14">DaysAndWeeks+DATE(CalendarYear,5,1)-WEEKDAY(DATE(CalendarYear,5,1),(WeekStart="M")+1)+29</f>
        <v>45802</v>
      </c>
      <c r="D14" s="114">
        <v>45803</v>
      </c>
      <c r="E14" s="114">
        <v>45804</v>
      </c>
      <c r="F14" s="114">
        <v>45805</v>
      </c>
      <c r="G14" s="146">
        <v>45806</v>
      </c>
      <c r="H14" s="146">
        <v>45807</v>
      </c>
      <c r="I14" s="74">
        <v>45808</v>
      </c>
    </row>
    <row r="15" spans="2:9" s="57" customFormat="1" ht="75" customHeight="1" x14ac:dyDescent="0.15">
      <c r="B15" s="86"/>
      <c r="C15" s="134"/>
      <c r="D15" s="130">
        <v>0.625</v>
      </c>
      <c r="E15" s="135"/>
      <c r="F15" s="56"/>
      <c r="G15" s="157"/>
      <c r="H15" s="157"/>
      <c r="I15" s="93"/>
    </row>
    <row r="16" spans="2:9" s="35" customFormat="1" ht="25" customHeight="1" x14ac:dyDescent="0.2">
      <c r="B16" s="79"/>
      <c r="C16" s="45">
        <f t="array" ref="C16:I16">DaysAndWeeks+DATE(CalendarYear,5,1)-WEEKDAY(DATE(CalendarYear,5,1),(WeekStart="M")+1)+36</f>
        <v>45809</v>
      </c>
      <c r="D16" s="38">
        <v>45810</v>
      </c>
      <c r="E16" s="38">
        <v>45811</v>
      </c>
      <c r="F16" s="38">
        <v>45812</v>
      </c>
      <c r="G16" s="38">
        <v>45813</v>
      </c>
      <c r="H16" s="38">
        <v>45814</v>
      </c>
      <c r="I16" s="74">
        <v>45815</v>
      </c>
    </row>
    <row r="17" spans="2:9" ht="75" customHeight="1" x14ac:dyDescent="0.15">
      <c r="B17" s="78"/>
      <c r="C17" s="49"/>
      <c r="D17" s="48"/>
      <c r="E17" s="48"/>
      <c r="F17" s="48"/>
      <c r="G17" s="48"/>
      <c r="H17" s="48"/>
      <c r="I17" s="101"/>
    </row>
    <row r="18" spans="2:9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4 C15 E15:I15 C16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4" sqref="K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3"/>
      <c r="D1" s="83"/>
      <c r="E1" s="83"/>
      <c r="F1" s="83"/>
      <c r="G1" s="83"/>
      <c r="H1" s="83"/>
      <c r="I1" s="83"/>
    </row>
    <row r="2" spans="2:9" ht="75" customHeight="1" thickTop="1" x14ac:dyDescent="0.15">
      <c r="B2" s="78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3">
      <c r="B3" s="78"/>
      <c r="C3" s="62"/>
      <c r="D3" s="63"/>
      <c r="E3" s="63"/>
      <c r="F3" s="64"/>
      <c r="G3" s="20" t="s">
        <v>19</v>
      </c>
      <c r="H3" s="20" t="s">
        <v>20</v>
      </c>
      <c r="I3" s="82"/>
    </row>
    <row r="4" spans="2:9" ht="75" customHeight="1" x14ac:dyDescent="0.65">
      <c r="B4" s="78"/>
      <c r="C4" s="144">
        <f>CalendarYear</f>
        <v>2025</v>
      </c>
      <c r="D4" s="204" t="s">
        <v>21</v>
      </c>
      <c r="E4" s="204"/>
      <c r="F4" s="204"/>
      <c r="G4" s="204"/>
      <c r="H4" s="204"/>
      <c r="I4" s="145"/>
    </row>
    <row r="5" spans="2:9" ht="35" customHeight="1" x14ac:dyDescent="0.15">
      <c r="B5" s="78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79"/>
      <c r="C6" s="45">
        <f t="array" ref="C6:I6">DaysAndWeeks+DATE(CalendarYear,6,1)-WEEKDAY(DATE(CalendarYear,6,1),(WeekStart="M")+1)+1</f>
        <v>45809</v>
      </c>
      <c r="D6" s="38">
        <v>45810</v>
      </c>
      <c r="E6" s="38">
        <v>45811</v>
      </c>
      <c r="F6" s="41">
        <v>45812</v>
      </c>
      <c r="G6" s="41">
        <v>45813</v>
      </c>
      <c r="H6" s="41">
        <v>45814</v>
      </c>
      <c r="I6" s="72">
        <v>45815</v>
      </c>
    </row>
    <row r="7" spans="2:9" s="70" customFormat="1" ht="75" customHeight="1" x14ac:dyDescent="0.15">
      <c r="B7" s="80"/>
      <c r="C7" s="71"/>
      <c r="D7" s="69"/>
      <c r="E7" s="137"/>
      <c r="F7" s="166"/>
      <c r="G7" s="168"/>
      <c r="H7" s="169"/>
      <c r="I7" s="73"/>
    </row>
    <row r="8" spans="2:9" s="37" customFormat="1" ht="25" customHeight="1" x14ac:dyDescent="0.2">
      <c r="B8" s="81"/>
      <c r="C8" s="39">
        <f t="array" ref="C8:I8">DaysAndWeeks+DATE(CalendarYear,6,1)-WEEKDAY(DATE(CalendarYear,6,1),(WeekStart="M")+1)+8</f>
        <v>45816</v>
      </c>
      <c r="D8" s="36">
        <v>45817</v>
      </c>
      <c r="E8" s="36">
        <v>45818</v>
      </c>
      <c r="F8" s="36">
        <v>45819</v>
      </c>
      <c r="G8" s="36">
        <v>45820</v>
      </c>
      <c r="H8" s="36">
        <v>45821</v>
      </c>
      <c r="I8" s="72">
        <v>45822</v>
      </c>
    </row>
    <row r="9" spans="2:9" s="70" customFormat="1" ht="75" customHeight="1" x14ac:dyDescent="0.15">
      <c r="B9" s="80"/>
      <c r="C9" s="140"/>
      <c r="D9" s="130">
        <v>0.625</v>
      </c>
      <c r="E9" s="136"/>
      <c r="F9" s="139"/>
      <c r="G9" s="136"/>
      <c r="H9" s="65"/>
      <c r="I9" s="73"/>
    </row>
    <row r="10" spans="2:9" s="37" customFormat="1" ht="25" customHeight="1" x14ac:dyDescent="0.2">
      <c r="B10" s="81"/>
      <c r="C10" s="39">
        <f t="array" ref="C10:I10">DaysAndWeeks+DATE(CalendarYear,6,1)-WEEKDAY(DATE(CalendarYear,6,1),(WeekStart="M")+1)+15</f>
        <v>45823</v>
      </c>
      <c r="D10" s="36">
        <v>45824</v>
      </c>
      <c r="E10" s="36">
        <v>45825</v>
      </c>
      <c r="F10" s="36">
        <v>45826</v>
      </c>
      <c r="G10" s="36">
        <v>45827</v>
      </c>
      <c r="H10" s="36">
        <v>45828</v>
      </c>
      <c r="I10" s="72">
        <v>45829</v>
      </c>
    </row>
    <row r="11" spans="2:9" s="70" customFormat="1" ht="75" customHeight="1" x14ac:dyDescent="0.15">
      <c r="B11" s="80"/>
      <c r="C11" s="140"/>
      <c r="D11" s="130">
        <v>0.625</v>
      </c>
      <c r="E11" s="136"/>
      <c r="F11" s="139"/>
      <c r="G11" s="136"/>
      <c r="H11" s="65"/>
      <c r="I11" s="73"/>
    </row>
    <row r="12" spans="2:9" s="37" customFormat="1" ht="25" customHeight="1" x14ac:dyDescent="0.2">
      <c r="B12" s="81"/>
      <c r="C12" s="39">
        <f t="array" ref="C12:I12">DaysAndWeeks+DATE(CalendarYear,6,1)-WEEKDAY(DATE(CalendarYear,6,1),(WeekStart="M")+1)+22</f>
        <v>45830</v>
      </c>
      <c r="D12" s="36">
        <v>45831</v>
      </c>
      <c r="E12" s="36">
        <v>45832</v>
      </c>
      <c r="F12" s="36">
        <v>45833</v>
      </c>
      <c r="G12" s="36">
        <v>45834</v>
      </c>
      <c r="H12" s="36">
        <v>45835</v>
      </c>
      <c r="I12" s="72">
        <v>45836</v>
      </c>
    </row>
    <row r="13" spans="2:9" s="70" customFormat="1" ht="75" customHeight="1" x14ac:dyDescent="0.15">
      <c r="B13" s="80"/>
      <c r="C13" s="140"/>
      <c r="D13" s="130">
        <v>0.625</v>
      </c>
      <c r="E13" s="136"/>
      <c r="F13" s="139"/>
      <c r="G13" s="136"/>
      <c r="H13" s="65"/>
      <c r="I13" s="73"/>
    </row>
    <row r="14" spans="2:9" s="37" customFormat="1" ht="25" customHeight="1" x14ac:dyDescent="0.2">
      <c r="B14" s="81"/>
      <c r="C14" s="39">
        <f t="array" ref="C14:I14">DaysAndWeeks+DATE(CalendarYear,6,1)-WEEKDAY(DATE(CalendarYear,6,1),(WeekStart="M")+1)+29</f>
        <v>45837</v>
      </c>
      <c r="D14" s="36">
        <v>45838</v>
      </c>
      <c r="E14" s="36">
        <v>45839</v>
      </c>
      <c r="F14" s="36">
        <v>45840</v>
      </c>
      <c r="G14" s="36">
        <v>45841</v>
      </c>
      <c r="H14" s="146">
        <v>45842</v>
      </c>
      <c r="I14" s="151">
        <v>45843</v>
      </c>
    </row>
    <row r="15" spans="2:9" s="70" customFormat="1" ht="75" customHeight="1" x14ac:dyDescent="0.15">
      <c r="B15" s="80"/>
      <c r="C15" s="140"/>
      <c r="D15" s="130">
        <v>0.625</v>
      </c>
      <c r="E15" s="136"/>
      <c r="F15" s="139"/>
      <c r="G15" s="136"/>
      <c r="H15" s="171"/>
      <c r="I15" s="172"/>
    </row>
    <row r="16" spans="2:9" s="35" customFormat="1" ht="25" customHeight="1" x14ac:dyDescent="0.2">
      <c r="B16" s="79"/>
      <c r="C16" s="150">
        <f t="array" ref="C16:I16">DaysAndWeeks+DATE(CalendarYear,6,1)-WEEKDAY(DATE(CalendarYear,6,1),(WeekStart="M")+1)+36</f>
        <v>45844</v>
      </c>
      <c r="D16" s="38">
        <v>45845</v>
      </c>
      <c r="E16" s="38">
        <v>45846</v>
      </c>
      <c r="F16" s="38">
        <v>45847</v>
      </c>
      <c r="G16" s="38">
        <v>45848</v>
      </c>
      <c r="H16" s="38">
        <v>45849</v>
      </c>
      <c r="I16" s="74">
        <v>45850</v>
      </c>
    </row>
    <row r="17" spans="2:9" s="35" customFormat="1" ht="75" customHeight="1" x14ac:dyDescent="0.2">
      <c r="B17" s="79"/>
      <c r="C17" s="170"/>
      <c r="D17" s="67"/>
      <c r="E17" s="67"/>
      <c r="F17" s="67"/>
      <c r="G17" s="67"/>
      <c r="H17" s="67"/>
      <c r="I17" s="76"/>
    </row>
    <row r="18" spans="2:9" ht="125" customHeight="1" thickBot="1" x14ac:dyDescent="0.2">
      <c r="B18" s="78"/>
      <c r="C18" s="201" t="s">
        <v>6</v>
      </c>
      <c r="D18" s="202"/>
      <c r="E18" s="202"/>
      <c r="F18" s="202"/>
      <c r="G18" s="202"/>
      <c r="H18" s="202"/>
      <c r="I18" s="20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4 C15 E15:I15 C16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5" sqref="K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3"/>
      <c r="D1" s="83"/>
      <c r="E1" s="83"/>
      <c r="F1" s="83"/>
      <c r="G1" s="83"/>
      <c r="H1" s="83"/>
      <c r="I1" s="83"/>
    </row>
    <row r="2" spans="2:9" ht="75" customHeight="1" thickTop="1" x14ac:dyDescent="0.15">
      <c r="B2" s="78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3">
      <c r="B3" s="78"/>
      <c r="C3" s="62"/>
      <c r="D3" s="63"/>
      <c r="E3" s="63"/>
      <c r="F3" s="64"/>
      <c r="G3" s="20" t="s">
        <v>22</v>
      </c>
      <c r="H3" s="20" t="s">
        <v>23</v>
      </c>
      <c r="I3" s="82"/>
    </row>
    <row r="4" spans="2:9" ht="75" customHeight="1" x14ac:dyDescent="0.65">
      <c r="B4" s="78"/>
      <c r="C4" s="144">
        <f>CalendarYear</f>
        <v>2025</v>
      </c>
      <c r="D4" s="200" t="s">
        <v>24</v>
      </c>
      <c r="E4" s="200"/>
      <c r="F4" s="200"/>
      <c r="G4" s="200"/>
      <c r="H4" s="200"/>
      <c r="I4" s="145"/>
    </row>
    <row r="5" spans="2:9" ht="35" customHeight="1" x14ac:dyDescent="0.15">
      <c r="B5" s="78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1"/>
      <c r="C6" s="45">
        <f t="array" ref="C6:I6">DaysAndWeeks+DATE(CalendarYear,7,1)-WEEKDAY(DATE(CalendarYear,7,1),(WeekStart="M")+1)+1</f>
        <v>45837</v>
      </c>
      <c r="D6" s="146">
        <v>45838</v>
      </c>
      <c r="E6" s="146">
        <v>45839</v>
      </c>
      <c r="F6" s="173">
        <v>45840</v>
      </c>
      <c r="G6" s="146">
        <v>45841</v>
      </c>
      <c r="H6" s="36">
        <v>45842</v>
      </c>
      <c r="I6" s="72">
        <v>45843</v>
      </c>
    </row>
    <row r="7" spans="2:9" s="57" customFormat="1" ht="75" customHeight="1" x14ac:dyDescent="0.15">
      <c r="B7" s="86"/>
      <c r="C7" s="61"/>
      <c r="D7" s="130">
        <v>0.625</v>
      </c>
      <c r="E7" s="157"/>
      <c r="F7" s="174"/>
      <c r="G7" s="175"/>
      <c r="H7" s="56"/>
      <c r="I7" s="87"/>
    </row>
    <row r="8" spans="2:9" s="37" customFormat="1" ht="25" customHeight="1" x14ac:dyDescent="0.2">
      <c r="B8" s="81"/>
      <c r="C8" s="39">
        <f t="array" ref="C8:I8">DaysAndWeeks+DATE(CalendarYear,7,1)-WEEKDAY(DATE(CalendarYear,7,1),(WeekStart="M")+1)+8</f>
        <v>45844</v>
      </c>
      <c r="D8" s="36">
        <v>45845</v>
      </c>
      <c r="E8" s="36">
        <v>45846</v>
      </c>
      <c r="F8" s="36">
        <v>45847</v>
      </c>
      <c r="G8" s="36">
        <v>45848</v>
      </c>
      <c r="H8" s="36">
        <v>45849</v>
      </c>
      <c r="I8" s="72">
        <v>45850</v>
      </c>
    </row>
    <row r="9" spans="2:9" s="57" customFormat="1" ht="75" customHeight="1" x14ac:dyDescent="0.15">
      <c r="B9" s="86"/>
      <c r="C9" s="134"/>
      <c r="D9" s="130">
        <v>0.625</v>
      </c>
      <c r="E9" s="135"/>
      <c r="F9" s="138"/>
      <c r="G9" s="135"/>
      <c r="H9" s="56"/>
      <c r="I9" s="87"/>
    </row>
    <row r="10" spans="2:9" s="37" customFormat="1" ht="25" customHeight="1" x14ac:dyDescent="0.2">
      <c r="B10" s="81"/>
      <c r="C10" s="39">
        <f t="array" ref="C10:I10">DaysAndWeeks+DATE(CalendarYear,7,1)-WEEKDAY(DATE(CalendarYear,7,1),(WeekStart="M")+1)+15</f>
        <v>45851</v>
      </c>
      <c r="D10" s="36">
        <v>45852</v>
      </c>
      <c r="E10" s="36">
        <v>45853</v>
      </c>
      <c r="F10" s="36">
        <v>45854</v>
      </c>
      <c r="G10" s="36">
        <v>45855</v>
      </c>
      <c r="H10" s="36">
        <v>45856</v>
      </c>
      <c r="I10" s="72">
        <v>45857</v>
      </c>
    </row>
    <row r="11" spans="2:9" s="57" customFormat="1" ht="75" customHeight="1" x14ac:dyDescent="0.15">
      <c r="B11" s="86"/>
      <c r="C11" s="134"/>
      <c r="D11" s="130">
        <v>0.625</v>
      </c>
      <c r="E11" s="135"/>
      <c r="F11" s="138"/>
      <c r="G11" s="135"/>
      <c r="H11" s="56"/>
      <c r="I11" s="87"/>
    </row>
    <row r="12" spans="2:9" s="37" customFormat="1" ht="25" customHeight="1" x14ac:dyDescent="0.2">
      <c r="B12" s="81"/>
      <c r="C12" s="39">
        <f t="array" ref="C12:I12">DaysAndWeeks+DATE(CalendarYear,7,1)-WEEKDAY(DATE(CalendarYear,7,1),(WeekStart="M")+1)+22</f>
        <v>45858</v>
      </c>
      <c r="D12" s="36">
        <v>45859</v>
      </c>
      <c r="E12" s="36">
        <v>45860</v>
      </c>
      <c r="F12" s="36">
        <v>45861</v>
      </c>
      <c r="G12" s="36">
        <v>45862</v>
      </c>
      <c r="H12" s="36">
        <v>45863</v>
      </c>
      <c r="I12" s="72">
        <v>45864</v>
      </c>
    </row>
    <row r="13" spans="2:9" s="57" customFormat="1" ht="75" customHeight="1" x14ac:dyDescent="0.15">
      <c r="B13" s="86"/>
      <c r="C13" s="134"/>
      <c r="D13" s="130">
        <v>0.625</v>
      </c>
      <c r="E13" s="135"/>
      <c r="F13" s="138"/>
      <c r="G13" s="135"/>
      <c r="H13" s="56"/>
      <c r="I13" s="87"/>
    </row>
    <row r="14" spans="2:9" s="35" customFormat="1" ht="25" customHeight="1" x14ac:dyDescent="0.2">
      <c r="B14" s="79"/>
      <c r="C14" s="39">
        <f t="array" ref="C14:I14">DaysAndWeeks+DATE(CalendarYear,7,1)-WEEKDAY(DATE(CalendarYear,7,1),(WeekStart="M")+1)+29</f>
        <v>45865</v>
      </c>
      <c r="D14" s="36">
        <v>45866</v>
      </c>
      <c r="E14" s="36">
        <v>45867</v>
      </c>
      <c r="F14" s="36">
        <v>45868</v>
      </c>
      <c r="G14" s="41">
        <v>45869</v>
      </c>
      <c r="H14" s="41">
        <v>45870</v>
      </c>
      <c r="I14" s="90">
        <v>45871</v>
      </c>
    </row>
    <row r="15" spans="2:9" s="57" customFormat="1" ht="75" customHeight="1" x14ac:dyDescent="0.15">
      <c r="B15" s="86"/>
      <c r="C15" s="134"/>
      <c r="D15" s="130">
        <v>0.625</v>
      </c>
      <c r="E15" s="135"/>
      <c r="F15" s="138"/>
      <c r="G15" s="167"/>
      <c r="H15" s="60"/>
      <c r="I15" s="177"/>
    </row>
    <row r="16" spans="2:9" s="37" customFormat="1" ht="25" customHeight="1" x14ac:dyDescent="0.2">
      <c r="B16" s="81"/>
      <c r="C16" s="85">
        <f t="array" ref="C16:I16">DaysAndWeeks+DATE(CalendarYear,7,1)-WEEKDAY(DATE(CalendarYear,7,1),(WeekStart="M")+1)+36</f>
        <v>45872</v>
      </c>
      <c r="D16" s="41">
        <v>45873</v>
      </c>
      <c r="E16" s="38">
        <v>45874</v>
      </c>
      <c r="F16" s="38">
        <v>45875</v>
      </c>
      <c r="G16" s="38">
        <v>45876</v>
      </c>
      <c r="H16" s="38">
        <v>45877</v>
      </c>
      <c r="I16" s="74">
        <v>45878</v>
      </c>
    </row>
    <row r="17" spans="2:9" s="57" customFormat="1" ht="75" customHeight="1" x14ac:dyDescent="0.15">
      <c r="B17" s="86"/>
      <c r="C17" s="176"/>
      <c r="D17" s="60"/>
      <c r="E17" s="59"/>
      <c r="F17" s="59"/>
      <c r="G17" s="59"/>
      <c r="H17" s="59"/>
      <c r="I17" s="93"/>
    </row>
    <row r="18" spans="2:9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C15 E15:I15 C16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5" sqref="K5"/>
    </sheetView>
  </sheetViews>
  <sheetFormatPr baseColWidth="10" defaultColWidth="8.625" defaultRowHeight="17" x14ac:dyDescent="0.15"/>
  <cols>
    <col min="1" max="2" width="2.625" style="35" customWidth="1"/>
    <col min="3" max="9" width="24.375" style="35" customWidth="1"/>
    <col min="10" max="16384" width="8.625" style="35"/>
  </cols>
  <sheetData>
    <row r="1" spans="2:9" ht="15" customHeight="1" thickBot="1" x14ac:dyDescent="0.2"/>
    <row r="2" spans="2:9" ht="75" customHeight="1" thickTop="1" x14ac:dyDescent="0.15">
      <c r="B2" s="79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2">
      <c r="B3" s="79"/>
      <c r="C3" s="102"/>
      <c r="D3" s="103"/>
      <c r="E3" s="103"/>
      <c r="F3" s="104"/>
      <c r="G3" s="50" t="s">
        <v>25</v>
      </c>
      <c r="H3" s="50" t="s">
        <v>26</v>
      </c>
      <c r="I3" s="110"/>
    </row>
    <row r="4" spans="2:9" ht="75" customHeight="1" x14ac:dyDescent="0.65">
      <c r="B4" s="79"/>
      <c r="C4" s="144">
        <f>CalendarYear</f>
        <v>2025</v>
      </c>
      <c r="D4" s="200" t="s">
        <v>27</v>
      </c>
      <c r="E4" s="200"/>
      <c r="F4" s="200"/>
      <c r="G4" s="200"/>
      <c r="H4" s="200"/>
      <c r="I4" s="145"/>
    </row>
    <row r="5" spans="2:9" ht="35" customHeight="1" x14ac:dyDescent="0.15">
      <c r="B5" s="79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105" customFormat="1" ht="25" customHeight="1" x14ac:dyDescent="0.2">
      <c r="B6" s="108"/>
      <c r="C6" s="107">
        <f t="array" ref="C6:I6">DaysAndWeeks+DATE(CalendarYear,8,1)-WEEKDAY(DATE(CalendarYear,8,1),(WeekStart="M")+1)+1</f>
        <v>45865</v>
      </c>
      <c r="D6" s="107">
        <v>45866</v>
      </c>
      <c r="E6" s="178">
        <v>45867</v>
      </c>
      <c r="F6" s="178">
        <v>45868</v>
      </c>
      <c r="G6" s="66">
        <v>45869</v>
      </c>
      <c r="H6" s="66">
        <v>45870</v>
      </c>
      <c r="I6" s="109">
        <v>45871</v>
      </c>
    </row>
    <row r="7" spans="2:9" s="70" customFormat="1" ht="75" customHeight="1" x14ac:dyDescent="0.15">
      <c r="B7" s="80"/>
      <c r="C7" s="141"/>
      <c r="D7" s="141"/>
      <c r="E7" s="168"/>
      <c r="F7" s="179"/>
      <c r="G7" s="136"/>
      <c r="H7" s="65"/>
      <c r="I7" s="73"/>
    </row>
    <row r="8" spans="2:9" ht="25" customHeight="1" x14ac:dyDescent="0.2">
      <c r="B8" s="79"/>
      <c r="C8" s="39">
        <f t="array" ref="C8:I8">DaysAndWeeks+DATE(CalendarYear,8,1)-WEEKDAY(DATE(CalendarYear,8,1),(WeekStart="M")+1)+8</f>
        <v>45872</v>
      </c>
      <c r="D8" s="114">
        <v>45873</v>
      </c>
      <c r="E8" s="36">
        <v>45874</v>
      </c>
      <c r="F8" s="36">
        <v>45875</v>
      </c>
      <c r="G8" s="36">
        <v>45876</v>
      </c>
      <c r="H8" s="36">
        <v>45877</v>
      </c>
      <c r="I8" s="72">
        <v>45878</v>
      </c>
    </row>
    <row r="9" spans="2:9" s="70" customFormat="1" ht="75" customHeight="1" x14ac:dyDescent="0.15">
      <c r="B9" s="80"/>
      <c r="C9" s="140"/>
      <c r="D9" s="130">
        <v>0.625</v>
      </c>
      <c r="E9" s="136"/>
      <c r="F9" s="139"/>
      <c r="G9" s="136"/>
      <c r="H9" s="65"/>
      <c r="I9" s="73"/>
    </row>
    <row r="10" spans="2:9" ht="25" customHeight="1" x14ac:dyDescent="0.2">
      <c r="B10" s="79"/>
      <c r="C10" s="39">
        <f t="array" ref="C10:I10">DaysAndWeeks+DATE(CalendarYear,8,1)-WEEKDAY(DATE(CalendarYear,8,1),(WeekStart="M")+1)+15</f>
        <v>45879</v>
      </c>
      <c r="D10" s="114">
        <v>45880</v>
      </c>
      <c r="E10" s="36">
        <v>45881</v>
      </c>
      <c r="F10" s="36">
        <v>45882</v>
      </c>
      <c r="G10" s="36">
        <v>45883</v>
      </c>
      <c r="H10" s="36">
        <v>45884</v>
      </c>
      <c r="I10" s="72">
        <v>45885</v>
      </c>
    </row>
    <row r="11" spans="2:9" s="70" customFormat="1" ht="75" customHeight="1" x14ac:dyDescent="0.15">
      <c r="B11" s="80"/>
      <c r="C11" s="140"/>
      <c r="D11" s="130">
        <v>0.625</v>
      </c>
      <c r="E11" s="136"/>
      <c r="F11" s="139"/>
      <c r="G11" s="136"/>
      <c r="H11" s="65"/>
      <c r="I11" s="73"/>
    </row>
    <row r="12" spans="2:9" ht="25" customHeight="1" x14ac:dyDescent="0.2">
      <c r="B12" s="79"/>
      <c r="C12" s="39">
        <f t="array" ref="C12:I12">DaysAndWeeks+DATE(CalendarYear,8,1)-WEEKDAY(DATE(CalendarYear,8,1),(WeekStart="M")+1)+22</f>
        <v>45886</v>
      </c>
      <c r="D12" s="114">
        <v>45887</v>
      </c>
      <c r="E12" s="36">
        <v>45888</v>
      </c>
      <c r="F12" s="36">
        <v>45889</v>
      </c>
      <c r="G12" s="36">
        <v>45890</v>
      </c>
      <c r="H12" s="36">
        <v>45891</v>
      </c>
      <c r="I12" s="72">
        <v>45892</v>
      </c>
    </row>
    <row r="13" spans="2:9" s="70" customFormat="1" ht="75" customHeight="1" x14ac:dyDescent="0.15">
      <c r="B13" s="80"/>
      <c r="C13" s="140"/>
      <c r="D13" s="130">
        <v>0.625</v>
      </c>
      <c r="E13" s="136"/>
      <c r="F13" s="139"/>
      <c r="G13" s="136"/>
      <c r="H13" s="65"/>
      <c r="I13" s="73"/>
    </row>
    <row r="14" spans="2:9" ht="25" customHeight="1" x14ac:dyDescent="0.2">
      <c r="B14" s="79"/>
      <c r="C14" s="39">
        <f t="array" ref="C14:I14">DaysAndWeeks+DATE(CalendarYear,8,1)-WEEKDAY(DATE(CalendarYear,8,1),(WeekStart="M")+1)+29</f>
        <v>45893</v>
      </c>
      <c r="D14" s="36">
        <v>45894</v>
      </c>
      <c r="E14" s="36">
        <v>45895</v>
      </c>
      <c r="F14" s="36">
        <v>45896</v>
      </c>
      <c r="G14" s="114">
        <v>45897</v>
      </c>
      <c r="H14" s="146">
        <v>45898</v>
      </c>
      <c r="I14" s="151">
        <v>45899</v>
      </c>
    </row>
    <row r="15" spans="2:9" s="70" customFormat="1" ht="75" customHeight="1" x14ac:dyDescent="0.15">
      <c r="B15" s="80"/>
      <c r="C15" s="140"/>
      <c r="D15" s="130">
        <v>0.625</v>
      </c>
      <c r="E15" s="136"/>
      <c r="F15" s="65"/>
      <c r="G15" s="65"/>
      <c r="H15" s="171"/>
      <c r="I15" s="172"/>
    </row>
    <row r="16" spans="2:9" ht="25" customHeight="1" x14ac:dyDescent="0.2">
      <c r="B16" s="79"/>
      <c r="C16" s="45">
        <f t="array" ref="C16:I16">DaysAndWeeks+DATE(CalendarYear,8,1)-WEEKDAY(DATE(CalendarYear,8,1),(WeekStart="M")+1)+36</f>
        <v>45900</v>
      </c>
      <c r="D16" s="38">
        <v>45901</v>
      </c>
      <c r="E16" s="38">
        <v>45902</v>
      </c>
      <c r="F16" s="38">
        <v>45903</v>
      </c>
      <c r="G16" s="38">
        <v>45904</v>
      </c>
      <c r="H16" s="38">
        <v>45905</v>
      </c>
      <c r="I16" s="74">
        <v>45906</v>
      </c>
    </row>
    <row r="17" spans="2:9" s="70" customFormat="1" ht="75" customHeight="1" x14ac:dyDescent="0.15">
      <c r="B17" s="80"/>
      <c r="C17" s="71"/>
      <c r="D17" s="69"/>
      <c r="E17" s="69"/>
      <c r="F17" s="69"/>
      <c r="G17" s="69"/>
      <c r="H17" s="69"/>
      <c r="I17" s="75"/>
    </row>
    <row r="18" spans="2:9" s="1" customFormat="1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4 C15 E15:I15 C16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7" sqref="K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3"/>
      <c r="D1" s="83"/>
      <c r="E1" s="83"/>
      <c r="F1" s="83"/>
      <c r="G1" s="83"/>
      <c r="H1" s="83"/>
      <c r="I1" s="83"/>
    </row>
    <row r="2" spans="2:9" ht="75" customHeight="1" thickTop="1" x14ac:dyDescent="0.15">
      <c r="B2" s="78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3">
      <c r="B3" s="78"/>
      <c r="C3" s="62"/>
      <c r="D3" s="63"/>
      <c r="E3" s="63"/>
      <c r="F3" s="64"/>
      <c r="G3" s="20" t="s">
        <v>28</v>
      </c>
      <c r="H3" s="20" t="s">
        <v>29</v>
      </c>
      <c r="I3" s="82"/>
    </row>
    <row r="4" spans="2:9" ht="75" customHeight="1" x14ac:dyDescent="0.65">
      <c r="B4" s="78"/>
      <c r="C4" s="144">
        <f>CalendarYear</f>
        <v>2025</v>
      </c>
      <c r="D4" s="205" t="s">
        <v>30</v>
      </c>
      <c r="E4" s="205"/>
      <c r="F4" s="205"/>
      <c r="G4" s="205"/>
      <c r="H4" s="205"/>
      <c r="I4" s="143"/>
    </row>
    <row r="5" spans="2:9" ht="35" customHeight="1" x14ac:dyDescent="0.15">
      <c r="B5" s="78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1"/>
      <c r="C6" s="150">
        <f t="array" ref="C6:I6">DaysAndWeeks+DATE(CalendarYear,9,1)-WEEKDAY(DATE(CalendarYear,9,1),(WeekStart="M")+1)+1</f>
        <v>45900</v>
      </c>
      <c r="D6" s="146">
        <v>45901</v>
      </c>
      <c r="E6" s="146">
        <v>45902</v>
      </c>
      <c r="F6" s="146">
        <v>45903</v>
      </c>
      <c r="G6" s="36">
        <v>45904</v>
      </c>
      <c r="H6" s="36">
        <v>45905</v>
      </c>
      <c r="I6" s="72">
        <v>45906</v>
      </c>
    </row>
    <row r="7" spans="2:9" s="57" customFormat="1" ht="75" customHeight="1" x14ac:dyDescent="0.15">
      <c r="B7" s="86"/>
      <c r="C7" s="152"/>
      <c r="D7" s="180">
        <v>0.625</v>
      </c>
      <c r="E7" s="157"/>
      <c r="F7" s="157"/>
      <c r="G7" s="132"/>
      <c r="H7" s="56"/>
      <c r="I7" s="87"/>
    </row>
    <row r="8" spans="2:9" s="37" customFormat="1" ht="25" customHeight="1" x14ac:dyDescent="0.2">
      <c r="B8" s="81"/>
      <c r="C8" s="39">
        <f t="array" ref="C8:I8">DaysAndWeeks+DATE(CalendarYear,9,1)-WEEKDAY(DATE(CalendarYear,9,1),(WeekStart="M")+1)+8</f>
        <v>45907</v>
      </c>
      <c r="D8" s="36">
        <v>45908</v>
      </c>
      <c r="E8" s="36">
        <v>45909</v>
      </c>
      <c r="F8" s="36">
        <v>45910</v>
      </c>
      <c r="G8" s="36">
        <v>45911</v>
      </c>
      <c r="H8" s="36">
        <v>45912</v>
      </c>
      <c r="I8" s="72">
        <v>45913</v>
      </c>
    </row>
    <row r="9" spans="2:9" s="57" customFormat="1" ht="75" customHeight="1" x14ac:dyDescent="0.15">
      <c r="B9" s="86"/>
      <c r="C9" s="134"/>
      <c r="D9" s="130">
        <v>0.625</v>
      </c>
      <c r="E9" s="135"/>
      <c r="F9" s="135"/>
      <c r="G9" s="135"/>
      <c r="H9" s="56"/>
      <c r="I9" s="87"/>
    </row>
    <row r="10" spans="2:9" s="37" customFormat="1" ht="25" customHeight="1" x14ac:dyDescent="0.2">
      <c r="B10" s="81"/>
      <c r="C10" s="39">
        <f t="array" ref="C10:I10">DaysAndWeeks+DATE(CalendarYear,9,1)-WEEKDAY(DATE(CalendarYear,9,1),(WeekStart="M")+1)+15</f>
        <v>45914</v>
      </c>
      <c r="D10" s="36">
        <v>45915</v>
      </c>
      <c r="E10" s="36">
        <v>45916</v>
      </c>
      <c r="F10" s="36">
        <v>45917</v>
      </c>
      <c r="G10" s="36">
        <v>45918</v>
      </c>
      <c r="H10" s="36">
        <v>45919</v>
      </c>
      <c r="I10" s="72">
        <v>45920</v>
      </c>
    </row>
    <row r="11" spans="2:9" s="57" customFormat="1" ht="75" customHeight="1" x14ac:dyDescent="0.15">
      <c r="B11" s="86"/>
      <c r="C11" s="134"/>
      <c r="D11" s="130">
        <v>0.625</v>
      </c>
      <c r="E11" s="135"/>
      <c r="F11" s="135"/>
      <c r="G11" s="135"/>
      <c r="H11" s="56"/>
      <c r="I11" s="87"/>
    </row>
    <row r="12" spans="2:9" s="37" customFormat="1" ht="25" customHeight="1" x14ac:dyDescent="0.2">
      <c r="B12" s="81"/>
      <c r="C12" s="39">
        <f t="array" ref="C12:I12">DaysAndWeeks+DATE(CalendarYear,9,1)-WEEKDAY(DATE(CalendarYear,9,1),(WeekStart="M")+1)+22</f>
        <v>45921</v>
      </c>
      <c r="D12" s="36">
        <v>45922</v>
      </c>
      <c r="E12" s="36">
        <v>45923</v>
      </c>
      <c r="F12" s="36">
        <v>45924</v>
      </c>
      <c r="G12" s="36">
        <v>45925</v>
      </c>
      <c r="H12" s="36">
        <v>45926</v>
      </c>
      <c r="I12" s="72">
        <v>45927</v>
      </c>
    </row>
    <row r="13" spans="2:9" s="57" customFormat="1" ht="75" customHeight="1" x14ac:dyDescent="0.15">
      <c r="B13" s="86"/>
      <c r="C13" s="134"/>
      <c r="D13" s="130">
        <v>0.625</v>
      </c>
      <c r="E13" s="135"/>
      <c r="F13" s="135"/>
      <c r="G13" s="135"/>
      <c r="H13" s="56"/>
      <c r="I13" s="87"/>
    </row>
    <row r="14" spans="2:9" s="37" customFormat="1" ht="25" customHeight="1" x14ac:dyDescent="0.2">
      <c r="B14" s="81"/>
      <c r="C14" s="39">
        <f t="array" ref="C14:I14">DaysAndWeeks+DATE(CalendarYear,9,1)-WEEKDAY(DATE(CalendarYear,9,1),(WeekStart="M")+1)+29</f>
        <v>45928</v>
      </c>
      <c r="D14" s="36">
        <v>45929</v>
      </c>
      <c r="E14" s="41">
        <v>45930</v>
      </c>
      <c r="F14" s="41">
        <v>45931</v>
      </c>
      <c r="G14" s="41">
        <v>45932</v>
      </c>
      <c r="H14" s="41">
        <v>45933</v>
      </c>
      <c r="I14" s="74">
        <v>45934</v>
      </c>
    </row>
    <row r="15" spans="2:9" s="57" customFormat="1" ht="75" customHeight="1" x14ac:dyDescent="0.15">
      <c r="B15" s="86"/>
      <c r="C15" s="134"/>
      <c r="D15" s="130">
        <v>0.625</v>
      </c>
      <c r="E15" s="167"/>
      <c r="F15" s="167"/>
      <c r="G15" s="167"/>
      <c r="H15" s="60"/>
      <c r="I15" s="93"/>
    </row>
    <row r="16" spans="2:9" s="37" customFormat="1" ht="25" customHeight="1" x14ac:dyDescent="0.2">
      <c r="B16" s="81"/>
      <c r="C16" s="45">
        <f t="array" ref="C16:I16">DaysAndWeeks+DATE(CalendarYear,9,1)-WEEKDAY(DATE(CalendarYear,9,1),(WeekStart="M")+1)+36</f>
        <v>45935</v>
      </c>
      <c r="D16" s="38">
        <v>45936</v>
      </c>
      <c r="E16" s="38">
        <v>45937</v>
      </c>
      <c r="F16" s="38">
        <v>45938</v>
      </c>
      <c r="G16" s="38">
        <v>45939</v>
      </c>
      <c r="H16" s="38">
        <v>45940</v>
      </c>
      <c r="I16" s="74">
        <v>45941</v>
      </c>
    </row>
    <row r="17" spans="2:9" s="57" customFormat="1" ht="75" customHeight="1" x14ac:dyDescent="0.15">
      <c r="B17" s="86"/>
      <c r="C17" s="61"/>
      <c r="D17" s="59"/>
      <c r="E17" s="59"/>
      <c r="F17" s="59"/>
      <c r="G17" s="59"/>
      <c r="H17" s="59"/>
      <c r="I17" s="93"/>
    </row>
    <row r="18" spans="2:9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4 C15 E15:I15 C16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5" sqref="K5"/>
    </sheetView>
  </sheetViews>
  <sheetFormatPr baseColWidth="10" defaultColWidth="8.625" defaultRowHeight="17" x14ac:dyDescent="0.15"/>
  <cols>
    <col min="1" max="2" width="2.625" style="35" customWidth="1"/>
    <col min="3" max="9" width="24.375" style="35" customWidth="1"/>
    <col min="10" max="16384" width="8.625" style="35"/>
  </cols>
  <sheetData>
    <row r="1" spans="2:9" ht="15" customHeight="1" thickBot="1" x14ac:dyDescent="0.2">
      <c r="C1" s="113"/>
      <c r="D1" s="113"/>
      <c r="E1" s="113"/>
      <c r="F1" s="113"/>
      <c r="G1" s="113"/>
      <c r="H1" s="113"/>
      <c r="I1" s="113"/>
    </row>
    <row r="2" spans="2:9" ht="75" customHeight="1" thickTop="1" x14ac:dyDescent="0.15">
      <c r="B2" s="79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2">
      <c r="B3" s="79"/>
      <c r="C3" s="102"/>
      <c r="D3" s="103"/>
      <c r="E3" s="103"/>
      <c r="F3" s="104"/>
      <c r="G3" s="20" t="s">
        <v>31</v>
      </c>
      <c r="H3" s="20" t="s">
        <v>32</v>
      </c>
      <c r="I3" s="110"/>
    </row>
    <row r="4" spans="2:9" ht="75" customHeight="1" x14ac:dyDescent="0.65">
      <c r="B4" s="79"/>
      <c r="C4" s="144">
        <f>CalendarYear</f>
        <v>2025</v>
      </c>
      <c r="D4" s="205" t="s">
        <v>33</v>
      </c>
      <c r="E4" s="205"/>
      <c r="F4" s="205"/>
      <c r="G4" s="205"/>
      <c r="H4" s="205"/>
      <c r="I4" s="143"/>
    </row>
    <row r="5" spans="2:9" ht="35" customHeight="1" x14ac:dyDescent="0.15">
      <c r="B5" s="79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ht="25" customHeight="1" x14ac:dyDescent="0.2">
      <c r="B6" s="79"/>
      <c r="C6" s="85">
        <f t="array" ref="C6:I6">DaysAndWeeks+DATE(CalendarYear,10,1)-WEEKDAY(DATE(CalendarYear,10,1),(WeekStart="M")+1)+1</f>
        <v>45928</v>
      </c>
      <c r="D6" s="41">
        <v>45929</v>
      </c>
      <c r="E6" s="114">
        <v>45930</v>
      </c>
      <c r="F6" s="114">
        <v>45931</v>
      </c>
      <c r="G6" s="114">
        <v>45932</v>
      </c>
      <c r="H6" s="114">
        <v>45933</v>
      </c>
      <c r="I6" s="72">
        <v>45934</v>
      </c>
    </row>
    <row r="7" spans="2:9" s="70" customFormat="1" ht="75" customHeight="1" x14ac:dyDescent="0.15">
      <c r="B7" s="80"/>
      <c r="C7" s="181"/>
      <c r="D7" s="169"/>
      <c r="E7" s="136"/>
      <c r="F7" s="65"/>
      <c r="G7" s="128"/>
      <c r="H7" s="65"/>
      <c r="I7" s="73"/>
    </row>
    <row r="8" spans="2:9" ht="25" customHeight="1" x14ac:dyDescent="0.2">
      <c r="B8" s="79"/>
      <c r="C8" s="39">
        <f t="array" ref="C8:I8">DaysAndWeeks+DATE(CalendarYear,10,1)-WEEKDAY(DATE(CalendarYear,10,1),(WeekStart="M")+1)+8</f>
        <v>45935</v>
      </c>
      <c r="D8" s="36">
        <v>45936</v>
      </c>
      <c r="E8" s="36">
        <v>45937</v>
      </c>
      <c r="F8" s="36">
        <v>45938</v>
      </c>
      <c r="G8" s="36">
        <v>45939</v>
      </c>
      <c r="H8" s="36">
        <v>45940</v>
      </c>
      <c r="I8" s="72">
        <v>45941</v>
      </c>
    </row>
    <row r="9" spans="2:9" s="70" customFormat="1" ht="75" customHeight="1" x14ac:dyDescent="0.15">
      <c r="B9" s="80"/>
      <c r="C9" s="140"/>
      <c r="D9" s="130">
        <v>0.625</v>
      </c>
      <c r="E9" s="136"/>
      <c r="F9" s="139"/>
      <c r="G9" s="136"/>
      <c r="H9" s="65"/>
      <c r="I9" s="73"/>
    </row>
    <row r="10" spans="2:9" ht="25" customHeight="1" x14ac:dyDescent="0.2">
      <c r="B10" s="79"/>
      <c r="C10" s="39">
        <f t="array" ref="C10:I10">DaysAndWeeks+DATE(CalendarYear,10,1)-WEEKDAY(DATE(CalendarYear,10,1),(WeekStart="M")+1)+15</f>
        <v>45942</v>
      </c>
      <c r="D10" s="36">
        <v>45943</v>
      </c>
      <c r="E10" s="36">
        <v>45944</v>
      </c>
      <c r="F10" s="36">
        <v>45945</v>
      </c>
      <c r="G10" s="36">
        <v>45946</v>
      </c>
      <c r="H10" s="36">
        <v>45947</v>
      </c>
      <c r="I10" s="72">
        <v>45948</v>
      </c>
    </row>
    <row r="11" spans="2:9" s="70" customFormat="1" ht="75" customHeight="1" x14ac:dyDescent="0.15">
      <c r="B11" s="80"/>
      <c r="C11" s="140"/>
      <c r="D11" s="130">
        <v>0.625</v>
      </c>
      <c r="E11" s="136"/>
      <c r="F11" s="139"/>
      <c r="G11" s="136"/>
      <c r="H11" s="65"/>
      <c r="I11" s="73"/>
    </row>
    <row r="12" spans="2:9" ht="25" customHeight="1" x14ac:dyDescent="0.2">
      <c r="B12" s="79"/>
      <c r="C12" s="39">
        <f t="array" ref="C12:I12">DaysAndWeeks+DATE(CalendarYear,10,1)-WEEKDAY(DATE(CalendarYear,10,1),(WeekStart="M")+1)+22</f>
        <v>45949</v>
      </c>
      <c r="D12" s="36">
        <v>45950</v>
      </c>
      <c r="E12" s="36">
        <v>45951</v>
      </c>
      <c r="F12" s="36">
        <v>45952</v>
      </c>
      <c r="G12" s="36">
        <v>45953</v>
      </c>
      <c r="H12" s="36">
        <v>45954</v>
      </c>
      <c r="I12" s="72">
        <v>45955</v>
      </c>
    </row>
    <row r="13" spans="2:9" s="70" customFormat="1" ht="75" customHeight="1" x14ac:dyDescent="0.15">
      <c r="B13" s="80"/>
      <c r="C13" s="140"/>
      <c r="D13" s="130">
        <v>0.625</v>
      </c>
      <c r="E13" s="136"/>
      <c r="F13" s="139"/>
      <c r="G13" s="136"/>
      <c r="H13" s="65"/>
      <c r="I13" s="73"/>
    </row>
    <row r="14" spans="2:9" ht="25" customHeight="1" x14ac:dyDescent="0.2">
      <c r="B14" s="79"/>
      <c r="C14" s="39">
        <f t="array" ref="C14:I14">DaysAndWeeks+DATE(CalendarYear,10,1)-WEEKDAY(DATE(CalendarYear,10,1),(WeekStart="M")+1)+29</f>
        <v>45956</v>
      </c>
      <c r="D14" s="36">
        <v>45957</v>
      </c>
      <c r="E14" s="36">
        <v>45958</v>
      </c>
      <c r="F14" s="36">
        <v>45959</v>
      </c>
      <c r="G14" s="36">
        <v>45960</v>
      </c>
      <c r="H14" s="41">
        <v>45961</v>
      </c>
      <c r="I14" s="90">
        <v>45962</v>
      </c>
    </row>
    <row r="15" spans="2:9" s="111" customFormat="1" ht="75" customHeight="1" x14ac:dyDescent="0.15">
      <c r="B15" s="112"/>
      <c r="C15" s="140"/>
      <c r="D15" s="130">
        <v>0.625</v>
      </c>
      <c r="E15" s="136"/>
      <c r="F15" s="139"/>
      <c r="G15" s="136"/>
      <c r="H15" s="182"/>
      <c r="I15" s="183"/>
    </row>
    <row r="16" spans="2:9" ht="25" customHeight="1" x14ac:dyDescent="0.2">
      <c r="B16" s="79"/>
      <c r="C16" s="85">
        <f t="array" ref="C16:I16">DaysAndWeeks+DATE(CalendarYear,10,1)-WEEKDAY(DATE(CalendarYear,10,1),(WeekStart="M")+1)+36</f>
        <v>45963</v>
      </c>
      <c r="D16" s="41">
        <v>45964</v>
      </c>
      <c r="E16" s="38">
        <v>45965</v>
      </c>
      <c r="F16" s="38">
        <v>45966</v>
      </c>
      <c r="G16" s="38">
        <v>45967</v>
      </c>
      <c r="H16" s="38">
        <v>45968</v>
      </c>
      <c r="I16" s="38">
        <v>45969</v>
      </c>
    </row>
    <row r="17" spans="2:9" s="70" customFormat="1" ht="75" customHeight="1" x14ac:dyDescent="0.15">
      <c r="B17" s="80"/>
      <c r="C17" s="181"/>
      <c r="D17" s="169"/>
      <c r="E17" s="69"/>
      <c r="F17" s="69"/>
      <c r="G17" s="69"/>
      <c r="H17" s="69"/>
      <c r="I17" s="69"/>
    </row>
    <row r="18" spans="2:9" s="1" customFormat="1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4 C15 E15:I15 C16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9" sqref="K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3"/>
      <c r="D1" s="83"/>
      <c r="E1" s="83"/>
      <c r="F1" s="83"/>
      <c r="G1" s="83"/>
      <c r="H1" s="83"/>
      <c r="I1" s="83"/>
    </row>
    <row r="2" spans="2:9" ht="75" customHeight="1" thickTop="1" x14ac:dyDescent="0.15">
      <c r="B2" s="78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3">
      <c r="B3" s="78"/>
      <c r="C3" s="62"/>
      <c r="D3" s="63"/>
      <c r="E3" s="63"/>
      <c r="F3" s="64"/>
      <c r="G3" s="20" t="s">
        <v>34</v>
      </c>
      <c r="H3" s="20" t="s">
        <v>35</v>
      </c>
      <c r="I3" s="82"/>
    </row>
    <row r="4" spans="2:9" ht="75" customHeight="1" x14ac:dyDescent="0.65">
      <c r="B4" s="78"/>
      <c r="C4" s="144">
        <f>CalendarYear</f>
        <v>2025</v>
      </c>
      <c r="D4" s="206" t="s">
        <v>36</v>
      </c>
      <c r="E4" s="206"/>
      <c r="F4" s="206"/>
      <c r="G4" s="206"/>
      <c r="H4" s="206"/>
      <c r="I4" s="143"/>
    </row>
    <row r="5" spans="2:9" ht="35" customHeight="1" x14ac:dyDescent="0.15">
      <c r="B5" s="78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79"/>
      <c r="C6" s="45">
        <f t="array" ref="C6:I6">DaysAndWeeks+DATE(CalendarYear,11,1)-WEEKDAY(DATE(CalendarYear,11,1),(WeekStart="M")+1)+1</f>
        <v>45956</v>
      </c>
      <c r="D6" s="38">
        <v>45957</v>
      </c>
      <c r="E6" s="41">
        <v>45958</v>
      </c>
      <c r="F6" s="41">
        <v>45959</v>
      </c>
      <c r="G6" s="41">
        <v>45960</v>
      </c>
      <c r="H6" s="36">
        <v>45961</v>
      </c>
      <c r="I6" s="72">
        <v>45962</v>
      </c>
    </row>
    <row r="7" spans="2:9" s="70" customFormat="1" ht="75" customHeight="1" x14ac:dyDescent="0.15">
      <c r="B7" s="80"/>
      <c r="C7" s="71"/>
      <c r="D7" s="69"/>
      <c r="E7" s="158"/>
      <c r="F7" s="179"/>
      <c r="G7" s="168"/>
      <c r="H7" s="65"/>
      <c r="I7" s="73"/>
    </row>
    <row r="8" spans="2:9" s="35" customFormat="1" ht="25" customHeight="1" x14ac:dyDescent="0.2">
      <c r="B8" s="79"/>
      <c r="C8" s="39">
        <f t="array" ref="C8:I8">DaysAndWeeks+DATE(CalendarYear,11,1)-WEEKDAY(DATE(CalendarYear,11,1),(WeekStart="M")+1)+8</f>
        <v>45963</v>
      </c>
      <c r="D8" s="36">
        <v>45964</v>
      </c>
      <c r="E8" s="114">
        <v>45965</v>
      </c>
      <c r="F8" s="36">
        <v>45966</v>
      </c>
      <c r="G8" s="36">
        <v>45967</v>
      </c>
      <c r="H8" s="36">
        <v>45968</v>
      </c>
      <c r="I8" s="72">
        <v>45969</v>
      </c>
    </row>
    <row r="9" spans="2:9" s="70" customFormat="1" ht="75" customHeight="1" x14ac:dyDescent="0.15">
      <c r="B9" s="80"/>
      <c r="C9" s="140"/>
      <c r="D9" s="130">
        <v>0.625</v>
      </c>
      <c r="E9" s="136"/>
      <c r="F9" s="139"/>
      <c r="G9" s="136"/>
      <c r="H9" s="65"/>
      <c r="I9" s="73"/>
    </row>
    <row r="10" spans="2:9" s="35" customFormat="1" ht="25" customHeight="1" x14ac:dyDescent="0.2">
      <c r="B10" s="79"/>
      <c r="C10" s="39">
        <f t="array" ref="C10:I10">DaysAndWeeks+DATE(CalendarYear,11,1)-WEEKDAY(DATE(CalendarYear,11,1),(WeekStart="M")+1)+15</f>
        <v>45970</v>
      </c>
      <c r="D10" s="36">
        <v>45971</v>
      </c>
      <c r="E10" s="114">
        <v>45972</v>
      </c>
      <c r="F10" s="36">
        <v>45973</v>
      </c>
      <c r="G10" s="36">
        <v>45974</v>
      </c>
      <c r="H10" s="36">
        <v>45975</v>
      </c>
      <c r="I10" s="72">
        <v>45976</v>
      </c>
    </row>
    <row r="11" spans="2:9" s="70" customFormat="1" ht="75" customHeight="1" x14ac:dyDescent="0.15">
      <c r="B11" s="80"/>
      <c r="C11" s="140"/>
      <c r="D11" s="130">
        <v>0.625</v>
      </c>
      <c r="E11" s="136"/>
      <c r="F11" s="139"/>
      <c r="G11" s="136"/>
      <c r="H11" s="65"/>
      <c r="I11" s="73"/>
    </row>
    <row r="12" spans="2:9" s="35" customFormat="1" ht="25" customHeight="1" x14ac:dyDescent="0.2">
      <c r="B12" s="79"/>
      <c r="C12" s="39">
        <f t="array" ref="C12:I12">DaysAndWeeks+DATE(CalendarYear,11,1)-WEEKDAY(DATE(CalendarYear,11,1),(WeekStart="M")+1)+22</f>
        <v>45977</v>
      </c>
      <c r="D12" s="36">
        <v>45978</v>
      </c>
      <c r="E12" s="114">
        <v>45979</v>
      </c>
      <c r="F12" s="36">
        <v>45980</v>
      </c>
      <c r="G12" s="36">
        <v>45981</v>
      </c>
      <c r="H12" s="36">
        <v>45982</v>
      </c>
      <c r="I12" s="72">
        <v>45983</v>
      </c>
    </row>
    <row r="13" spans="2:9" s="70" customFormat="1" ht="75" customHeight="1" x14ac:dyDescent="0.15">
      <c r="B13" s="80"/>
      <c r="C13" s="140"/>
      <c r="D13" s="130">
        <v>0.625</v>
      </c>
      <c r="E13" s="136"/>
      <c r="F13" s="139"/>
      <c r="G13" s="136"/>
      <c r="H13" s="65"/>
      <c r="I13" s="73"/>
    </row>
    <row r="14" spans="2:9" s="35" customFormat="1" ht="25" customHeight="1" x14ac:dyDescent="0.2">
      <c r="B14" s="79"/>
      <c r="C14" s="39">
        <f t="array" ref="C14:I14">DaysAndWeeks+DATE(CalendarYear,11,1)-WEEKDAY(DATE(CalendarYear,11,1),(WeekStart="M")+1)+29</f>
        <v>45984</v>
      </c>
      <c r="D14" s="36">
        <v>45985</v>
      </c>
      <c r="E14" s="114">
        <v>45986</v>
      </c>
      <c r="F14" s="36">
        <v>45987</v>
      </c>
      <c r="G14" s="146">
        <v>45988</v>
      </c>
      <c r="H14" s="146">
        <v>45989</v>
      </c>
      <c r="I14" s="151">
        <v>45990</v>
      </c>
    </row>
    <row r="15" spans="2:9" s="70" customFormat="1" ht="75" customHeight="1" x14ac:dyDescent="0.15">
      <c r="B15" s="80"/>
      <c r="C15" s="140"/>
      <c r="D15" s="130">
        <v>0.625</v>
      </c>
      <c r="E15" s="136"/>
      <c r="F15" s="65"/>
      <c r="G15" s="171"/>
      <c r="H15" s="171"/>
      <c r="I15" s="172"/>
    </row>
    <row r="16" spans="2:9" s="35" customFormat="1" ht="25" customHeight="1" x14ac:dyDescent="0.2">
      <c r="B16" s="79"/>
      <c r="C16" s="68">
        <f t="array" ref="C16:I16">DaysAndWeeks+DATE(CalendarYear,11,1)-WEEKDAY(DATE(CalendarYear,11,1),(WeekStart="M")+1)+36</f>
        <v>45991</v>
      </c>
      <c r="D16" s="38">
        <v>45992</v>
      </c>
      <c r="E16" s="38">
        <v>45993</v>
      </c>
      <c r="F16" s="38">
        <v>45994</v>
      </c>
      <c r="G16" s="38">
        <v>45995</v>
      </c>
      <c r="H16" s="38">
        <v>45996</v>
      </c>
      <c r="I16" s="74">
        <v>45997</v>
      </c>
    </row>
    <row r="17" spans="2:9" s="70" customFormat="1" ht="75" customHeight="1" x14ac:dyDescent="0.15">
      <c r="B17" s="80"/>
      <c r="C17" s="106"/>
      <c r="D17" s="69"/>
      <c r="E17" s="69"/>
      <c r="F17" s="69"/>
      <c r="G17" s="69"/>
      <c r="H17" s="69"/>
      <c r="I17" s="75"/>
    </row>
    <row r="18" spans="2:9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4 C15 E15:I15 C16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J7" sqref="J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3"/>
      <c r="D1" s="83"/>
      <c r="E1" s="83"/>
      <c r="F1" s="83"/>
      <c r="G1" s="83"/>
      <c r="H1" s="83"/>
      <c r="I1" s="83"/>
    </row>
    <row r="2" spans="2:9" ht="75" customHeight="1" thickTop="1" x14ac:dyDescent="0.15">
      <c r="B2" s="78"/>
      <c r="C2" s="194" t="s">
        <v>0</v>
      </c>
      <c r="D2" s="194"/>
      <c r="E2" s="194"/>
      <c r="F2" s="194"/>
      <c r="G2" s="194"/>
      <c r="H2" s="194"/>
      <c r="I2" s="195"/>
    </row>
    <row r="3" spans="2:9" ht="20" customHeight="1" x14ac:dyDescent="0.3">
      <c r="B3" s="78"/>
      <c r="C3" s="62"/>
      <c r="D3" s="63"/>
      <c r="E3" s="63"/>
      <c r="F3" s="64"/>
      <c r="G3" s="20" t="s">
        <v>37</v>
      </c>
      <c r="H3" s="20" t="s">
        <v>38</v>
      </c>
      <c r="I3" s="82"/>
    </row>
    <row r="4" spans="2:9" ht="75" customHeight="1" x14ac:dyDescent="0.65">
      <c r="B4" s="78"/>
      <c r="C4" s="144">
        <f>CalendarYear</f>
        <v>2025</v>
      </c>
      <c r="D4" s="206" t="s">
        <v>39</v>
      </c>
      <c r="E4" s="206"/>
      <c r="F4" s="206"/>
      <c r="G4" s="206"/>
      <c r="H4" s="206"/>
      <c r="I4" s="143"/>
    </row>
    <row r="5" spans="2:9" ht="35" customHeight="1" x14ac:dyDescent="0.15">
      <c r="B5" s="78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79"/>
      <c r="C6" s="150">
        <f t="array" ref="C6:I6">DaysAndWeeks+DATE(CalendarYear,12,1)-WEEKDAY(DATE(CalendarYear,12,1),(WeekStart="M")+1)+1</f>
        <v>45991</v>
      </c>
      <c r="D6" s="146">
        <v>45992</v>
      </c>
      <c r="E6" s="146">
        <v>45993</v>
      </c>
      <c r="F6" s="146">
        <v>45994</v>
      </c>
      <c r="G6" s="36">
        <v>45995</v>
      </c>
      <c r="H6" s="36">
        <v>45996</v>
      </c>
      <c r="I6" s="72">
        <v>45997</v>
      </c>
    </row>
    <row r="7" spans="2:9" s="70" customFormat="1" ht="75" customHeight="1" x14ac:dyDescent="0.15">
      <c r="B7" s="80"/>
      <c r="C7" s="184"/>
      <c r="D7" s="130">
        <v>0.625</v>
      </c>
      <c r="E7" s="171"/>
      <c r="F7" s="171"/>
      <c r="G7" s="128"/>
      <c r="H7" s="65"/>
      <c r="I7" s="73"/>
    </row>
    <row r="8" spans="2:9" s="35" customFormat="1" ht="25" customHeight="1" x14ac:dyDescent="0.2">
      <c r="B8" s="79"/>
      <c r="C8" s="39">
        <f t="array" ref="C8:I8">DaysAndWeeks+DATE(CalendarYear,12,1)-WEEKDAY(DATE(CalendarYear,12,1),(WeekStart="M")+1)+8</f>
        <v>45998</v>
      </c>
      <c r="D8" s="36">
        <v>45999</v>
      </c>
      <c r="E8" s="39">
        <v>46000</v>
      </c>
      <c r="F8" s="36">
        <v>46001</v>
      </c>
      <c r="G8" s="36">
        <v>46002</v>
      </c>
      <c r="H8" s="36">
        <v>46003</v>
      </c>
      <c r="I8" s="72">
        <v>46004</v>
      </c>
    </row>
    <row r="9" spans="2:9" s="70" customFormat="1" ht="75" customHeight="1" x14ac:dyDescent="0.15">
      <c r="B9" s="80"/>
      <c r="C9" s="140"/>
      <c r="D9" s="130">
        <v>0.625</v>
      </c>
      <c r="E9" s="136"/>
      <c r="F9" s="139"/>
      <c r="G9" s="136"/>
      <c r="H9" s="65"/>
      <c r="I9" s="73"/>
    </row>
    <row r="10" spans="2:9" s="35" customFormat="1" ht="25" customHeight="1" x14ac:dyDescent="0.2">
      <c r="B10" s="79"/>
      <c r="C10" s="39">
        <f t="array" ref="C10:I10">DaysAndWeeks+DATE(CalendarYear,12,1)-WEEKDAY(DATE(CalendarYear,12,1),(WeekStart="M")+1)+15</f>
        <v>46005</v>
      </c>
      <c r="D10" s="36">
        <v>46006</v>
      </c>
      <c r="E10" s="36">
        <v>46007</v>
      </c>
      <c r="F10" s="36">
        <v>46008</v>
      </c>
      <c r="G10" s="36">
        <v>46009</v>
      </c>
      <c r="H10" s="36">
        <v>46010</v>
      </c>
      <c r="I10" s="72">
        <v>46011</v>
      </c>
    </row>
    <row r="11" spans="2:9" s="70" customFormat="1" ht="75" customHeight="1" x14ac:dyDescent="0.15">
      <c r="B11" s="80"/>
      <c r="C11" s="140"/>
      <c r="D11" s="130">
        <v>0.625</v>
      </c>
      <c r="E11" s="136"/>
      <c r="F11" s="139"/>
      <c r="G11" s="136"/>
      <c r="H11" s="65"/>
      <c r="I11" s="73"/>
    </row>
    <row r="12" spans="2:9" s="35" customFormat="1" ht="25" customHeight="1" x14ac:dyDescent="0.2">
      <c r="B12" s="79"/>
      <c r="C12" s="39">
        <f t="array" ref="C12:I12">DaysAndWeeks+DATE(CalendarYear,12,1)-WEEKDAY(DATE(CalendarYear,12,1),(WeekStart="M")+1)+22</f>
        <v>46012</v>
      </c>
      <c r="D12" s="36">
        <v>46013</v>
      </c>
      <c r="E12" s="36">
        <v>46014</v>
      </c>
      <c r="F12" s="36">
        <v>46015</v>
      </c>
      <c r="G12" s="36">
        <v>46016</v>
      </c>
      <c r="H12" s="36">
        <v>46017</v>
      </c>
      <c r="I12" s="72">
        <v>46018</v>
      </c>
    </row>
    <row r="13" spans="2:9" s="70" customFormat="1" ht="75" customHeight="1" x14ac:dyDescent="0.15">
      <c r="B13" s="80"/>
      <c r="C13" s="140"/>
      <c r="D13" s="130">
        <v>0.625</v>
      </c>
      <c r="E13" s="136"/>
      <c r="F13" s="139"/>
      <c r="G13" s="136"/>
      <c r="H13" s="65"/>
      <c r="I13" s="73"/>
    </row>
    <row r="14" spans="2:9" s="35" customFormat="1" ht="25" customHeight="1" x14ac:dyDescent="0.2">
      <c r="B14" s="79"/>
      <c r="C14" s="39">
        <f t="array" ref="C14:I14">DaysAndWeeks+DATE(CalendarYear,12,1)-WEEKDAY(DATE(CalendarYear,12,1),(WeekStart="M")+1)+29</f>
        <v>46019</v>
      </c>
      <c r="D14" s="36">
        <v>46020</v>
      </c>
      <c r="E14" s="36">
        <v>46021</v>
      </c>
      <c r="F14" s="41">
        <v>46022</v>
      </c>
      <c r="G14" s="41">
        <v>46023</v>
      </c>
      <c r="H14" s="41">
        <v>46024</v>
      </c>
      <c r="I14" s="90">
        <v>46025</v>
      </c>
    </row>
    <row r="15" spans="2:9" s="70" customFormat="1" ht="75" customHeight="1" x14ac:dyDescent="0.15">
      <c r="B15" s="80"/>
      <c r="C15" s="140"/>
      <c r="D15" s="130">
        <v>0.625</v>
      </c>
      <c r="E15" s="136"/>
      <c r="F15" s="179"/>
      <c r="G15" s="168"/>
      <c r="H15" s="169"/>
      <c r="I15" s="185"/>
    </row>
    <row r="16" spans="2:9" s="35" customFormat="1" ht="25" customHeight="1" x14ac:dyDescent="0.2">
      <c r="B16" s="79"/>
      <c r="C16" s="85">
        <f t="array" ref="C16:I16">DaysAndWeeks+DATE(CalendarYear,12,1)-WEEKDAY(DATE(CalendarYear,12,1),(WeekStart="M")+1)+36</f>
        <v>46026</v>
      </c>
      <c r="D16" s="38">
        <v>46027</v>
      </c>
      <c r="E16" s="68">
        <v>46028</v>
      </c>
      <c r="F16" s="38">
        <v>46029</v>
      </c>
      <c r="G16" s="38">
        <v>46030</v>
      </c>
      <c r="H16" s="68">
        <v>46031</v>
      </c>
      <c r="I16" s="74">
        <v>46032</v>
      </c>
    </row>
    <row r="17" spans="2:9" s="70" customFormat="1" ht="75" customHeight="1" x14ac:dyDescent="0.15">
      <c r="B17" s="80"/>
      <c r="C17" s="181"/>
      <c r="D17" s="69"/>
      <c r="E17" s="106"/>
      <c r="F17" s="69"/>
      <c r="G17" s="69"/>
      <c r="H17" s="106"/>
      <c r="I17" s="75"/>
    </row>
    <row r="18" spans="2:9" ht="125" customHeight="1" thickBot="1" x14ac:dyDescent="0.2">
      <c r="B18" s="78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C15 E15:I15 C16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1A9AA-FC47-4653-A579-E14A8D239451}">
  <ds:schemaRefs>
    <ds:schemaRef ds:uri="http://schemas.microsoft.com/office/2006/metadata/properties"/>
    <ds:schemaRef ds:uri="http://schemas.microsoft.com/office/infopath/2007/PartnerControls"/>
    <ds:schemaRef ds:uri="2f96a5e1-f937-4986-abb4-c031ec480b26"/>
    <ds:schemaRef ds:uri="6088389d-f9a4-418b-a8d8-f0ed3f71e6c8"/>
  </ds:schemaRefs>
</ds:datastoreItem>
</file>

<file path=customXml/itemProps2.xml><?xml version="1.0" encoding="utf-8"?>
<ds:datastoreItem xmlns:ds="http://schemas.openxmlformats.org/officeDocument/2006/customXml" ds:itemID="{D3C730C5-97E0-49B7-94C3-543A47789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378D4-6BBB-4748-8AD9-9D6058C493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Catherine Mahanna</cp:lastModifiedBy>
  <cp:revision/>
  <dcterms:created xsi:type="dcterms:W3CDTF">2016-11-11T22:25:27Z</dcterms:created>
  <dcterms:modified xsi:type="dcterms:W3CDTF">2025-02-19T20:55:35Z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