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cmahanna/Downloads/"/>
    </mc:Choice>
  </mc:AlternateContent>
  <xr:revisionPtr revIDLastSave="0" documentId="8_{836622F4-3E44-1B42-84DF-B3F5914EA684}" xr6:coauthVersionLast="47" xr6:coauthVersionMax="47" xr10:uidLastSave="{00000000-0000-0000-0000-000000000000}"/>
  <bookViews>
    <workbookView xWindow="5240" yWindow="760" windowWidth="23420" windowHeight="20100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4" i="13" l="1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16" i="3" l="1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E6" i="3"/>
  <c r="E5" i="3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14" i="3"/>
  <c r="F6" i="3"/>
  <c r="F5" i="3" s="1"/>
  <c r="C6" i="12"/>
  <c r="F6" i="12"/>
  <c r="F5" i="12" s="1"/>
  <c r="D6" i="7"/>
  <c r="D5" i="7" s="1"/>
  <c r="C6" i="7"/>
  <c r="E6" i="7"/>
  <c r="E5" i="7" s="1"/>
  <c r="F14" i="13"/>
  <c r="E6" i="10"/>
  <c r="E5" i="10" s="1"/>
  <c r="H14" i="7"/>
  <c r="G14" i="7"/>
  <c r="G14" i="3"/>
  <c r="G14" i="4"/>
  <c r="H14" i="4"/>
  <c r="E14" i="4"/>
  <c r="H6" i="3"/>
  <c r="H5" i="3" s="1"/>
  <c r="F6" i="7"/>
  <c r="F5" i="7" s="1"/>
  <c r="I6" i="12"/>
  <c r="I5" i="12" s="1"/>
  <c r="H14" i="3"/>
  <c r="I14" i="3"/>
  <c r="D14" i="3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C16" i="4" a="1"/>
  <c r="C6" i="2" a="1"/>
  <c r="C8" i="5" a="1"/>
  <c r="C16" i="5" a="1"/>
  <c r="C16" i="9" a="1"/>
  <c r="C12" i="10" a="1"/>
  <c r="C14" i="11" a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H14" i="11"/>
  <c r="C10" i="11"/>
  <c r="H16" i="11"/>
  <c r="G16" i="11"/>
  <c r="F16" i="11"/>
  <c r="E16" i="11"/>
  <c r="I10" i="11"/>
  <c r="F12" i="11"/>
  <c r="D16" i="11"/>
  <c r="G10" i="11"/>
  <c r="H12" i="11"/>
  <c r="E10" i="11"/>
  <c r="H10" i="11"/>
  <c r="E14" i="11"/>
  <c r="C12" i="11"/>
  <c r="D10" i="11"/>
  <c r="D12" i="11"/>
  <c r="F14" i="11"/>
  <c r="E6" i="11"/>
  <c r="E5" i="11" s="1"/>
  <c r="E12" i="11"/>
  <c r="G14" i="11"/>
  <c r="C14" i="11"/>
  <c r="H8" i="11"/>
  <c r="E16" i="6" l="1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<sst xmlns="http://schemas.openxmlformats.org/spreadsheetml/2006/main" count="95" uniqueCount="41">
  <si>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</si>
  <si>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</si>
  <si>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</si>
  <si>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</si>
  <si>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</si>
  <si>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t>3:00pm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</si>
  <si>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</si>
  <si>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</si>
  <si>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</si>
  <si>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</si>
  <si>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</si>
  <si>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</si>
  <si>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</si>
  <si>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</si>
  <si>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</si>
  <si>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</si>
  <si>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</si>
  <si>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</si>
  <si>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</si>
  <si>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</si>
  <si>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</si>
  <si>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</si>
  <si>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</si>
  <si>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</si>
  <si>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</si>
  <si>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</si>
  <si>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</si>
  <si>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</si>
  <si>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</si>
  <si>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</si>
  <si>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</si>
  <si>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</si>
  <si>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</si>
  <si>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</si>
  <si>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</si>
  <si>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</si>
  <si>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</si>
  <si>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</si>
  <si>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</si>
  <si>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</si>
  <si>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80/20 Alternating Weekend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</si>
</sst>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2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202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9" xfId="11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26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left" vertical="top" wrapTex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18" fontId="33" fillId="0" borderId="9" xfId="11" applyNumberFormat="1" applyFont="1" applyBorder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7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6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5" xfId="11" applyFont="1" applyFill="1" applyBorder="1">
      <alignment horizontal="left" vertical="top" wrapText="1" inden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8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164" fontId="27" fillId="0" borderId="10" xfId="4" applyFont="1" applyFill="1" applyBorder="1">
      <alignment horizontal="left" indent="1"/>
    </xf>
    <xf numFmtId="0" fontId="33" fillId="0" borderId="11" xfId="11" applyFont="1" applyBorder="1" applyAlignment="1">
      <alignment horizontal="left" vertical="top" wrapTex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164" fontId="12" fillId="0" borderId="12" xfId="4" applyFont="1" applyFill="1" applyBorder="1">
      <alignment horizontal="left" inden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5" borderId="12" xfId="0" applyNumberFormat="1" applyFont="1" applyFill="1" applyBorder="1" applyAlignment="1">
      <alignment horizontal="center" vertical="top" wrapText="1"/>
    </xf>
    <xf numFmtId="165" fontId="11" fillId="5" borderId="9" xfId="11" applyNumberFormat="1" applyFont="1" applyFill="1" applyBorder="1" applyAlignment="1">
      <alignment horizontal="center" vertical="top" wrapText="1"/>
    </xf>
    <xf numFmtId="18" fontId="11" fillId="5" borderId="9" xfId="0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17" xfId="11" applyNumberFormat="1" applyFont="1" applyBorder="1" applyAlignment="1">
      <alignment horizontal="center" vertical="top" wrapText="1"/>
    </xf>
    <xf numFmtId="18" fontId="11" fillId="0" borderId="9" xfId="11" applyNumberFormat="1" applyFont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9" fontId="11" fillId="0" borderId="24" xfId="11" applyNumberFormat="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40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1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65" fontId="11" fillId="0" borderId="11" xfId="0" applyNumberFormat="1" applyFont="1" applyBorder="1" applyAlignment="1">
      <alignment horizontal="center" vertical="top" wrapText="1"/>
    </xf>
    <xf numFmtId="0" fontId="12" fillId="0" borderId="9" xfId="11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5" borderId="9" xfId="11" applyFont="1" applyFill="1" applyBorder="1" applyAlignment="1">
      <alignment horizontal="center" vertical="top" wrapText="1"/>
    </xf>
    <xf numFmtId="0" fontId="12" fillId="3" borderId="24" xfId="11" applyFont="1" applyFill="1" applyBorder="1" applyAlignment="1">
      <alignment horizontal="center" vertical="top" wrapText="1"/>
    </xf>
    <xf numFmtId="0" fontId="13" fillId="0" borderId="12" xfId="11" applyFont="1" applyBorder="1" applyAlignment="1">
      <alignment horizontal="center" vertical="top" wrapText="1"/>
    </xf>
    <xf numFmtId="0" fontId="13" fillId="0" borderId="18" xfId="11" applyFont="1" applyBorder="1" applyAlignment="1">
      <alignment horizontal="center" vertical="top" wrapText="1"/>
    </xf>
    <xf numFmtId="0" fontId="33" fillId="0" borderId="11" xfId="11" applyFont="1" applyBorder="1" applyAlignment="1">
      <alignment horizontal="center" vertical="top" wrapText="1"/>
    </xf>
    <xf numFmtId="0" fontId="33" fillId="0" borderId="16" xfId="11" applyFont="1" applyBorder="1" applyAlignment="1">
      <alignment horizontal="center" vertical="top" wrapText="1"/>
    </xf>
    <xf numFmtId="164" fontId="33" fillId="3" borderId="0" xfId="4" applyFont="1" applyFill="1" applyBorder="1" applyAlignment="1">
      <alignment horizontal="center" vertical="top"/>
    </xf>
    <xf numFmtId="0" fontId="33" fillId="3" borderId="9" xfId="11" applyFont="1" applyFill="1" applyBorder="1" applyAlignment="1">
      <alignment horizontal="center" vertical="top" wrapText="1"/>
    </xf>
    <xf numFmtId="0" fontId="33" fillId="0" borderId="0" xfId="11" applyFont="1" applyBorder="1" applyAlignment="1">
      <alignment horizontal="center" vertical="top" wrapText="1"/>
    </xf>
    <xf numFmtId="0" fontId="11" fillId="0" borderId="16" xfId="11" applyFont="1" applyBorder="1" applyAlignment="1">
      <alignment horizontal="center" vertical="top" wrapText="1"/>
    </xf>
    <xf numFmtId="20" fontId="33" fillId="3" borderId="16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0" fontId="34" fillId="5" borderId="9" xfId="11" applyFont="1" applyFill="1" applyBorder="1" applyAlignment="1">
      <alignment horizontal="left" vertical="top" wrapText="1"/>
    </xf>
    <xf numFmtId="0" fontId="33" fillId="5" borderId="9" xfId="11" applyFont="1" applyFill="1" applyBorder="1" applyAlignment="1">
      <alignment horizontal="left" vertical="top" wrapText="1"/>
    </xf>
    <xf numFmtId="164" fontId="27" fillId="5" borderId="25" xfId="4" applyFont="1" applyFill="1" applyBorder="1">
      <alignment horizontal="left" indent="1"/>
    </xf>
    <xf numFmtId="164" fontId="27" fillId="5" borderId="14" xfId="4" applyFont="1" applyFill="1" applyBorder="1">
      <alignment horizontal="left" indent="1"/>
    </xf>
    <xf numFmtId="0" fontId="33" fillId="5" borderId="16" xfId="11" applyFont="1" applyFill="1" applyBorder="1" applyAlignment="1">
      <alignment horizontal="left" vertical="top" wrapText="1"/>
    </xf>
    <xf numFmtId="0" fontId="33" fillId="5" borderId="12" xfId="11" applyFont="1" applyFill="1" applyBorder="1" applyAlignment="1">
      <alignment horizontal="left" vertical="top" wrapText="1"/>
    </xf>
    <xf numFmtId="0" fontId="33" fillId="5" borderId="9" xfId="11" applyFont="1" applyFill="1" applyBorder="1" applyAlignment="1">
      <alignment horizontal="center" vertical="top" wrapText="1"/>
    </xf>
    <xf numFmtId="19" fontId="33" fillId="5" borderId="9" xfId="11" applyNumberFormat="1" applyFont="1" applyFill="1" applyBorder="1" applyAlignment="1">
      <alignment horizontal="center" vertical="top" wrapText="1"/>
    </xf>
    <xf numFmtId="0" fontId="33" fillId="3" borderId="16" xfId="11" applyFont="1" applyFill="1" applyBorder="1" applyAlignment="1">
      <alignment horizontal="center" vertical="top" wrapText="1"/>
    </xf>
    <xf numFmtId="18" fontId="11" fillId="3" borderId="30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left" vertical="top" wrapText="1"/>
    </xf>
    <xf numFmtId="0" fontId="11" fillId="5" borderId="9" xfId="11" applyFont="1" applyFill="1" applyBorder="1" applyAlignment="1">
      <alignment horizontal="left" vertical="top" wrapText="1"/>
    </xf>
    <xf numFmtId="0" fontId="11" fillId="5" borderId="16" xfId="11" applyFont="1" applyFill="1" applyBorder="1" applyAlignment="1">
      <alignment horizontal="left" vertical="top" wrapText="1"/>
    </xf>
    <xf numFmtId="164" fontId="27" fillId="5" borderId="15" xfId="4" applyFont="1" applyFill="1" applyBorder="1">
      <alignment horizontal="left" indent="1"/>
    </xf>
    <xf numFmtId="164" fontId="27" fillId="5" borderId="0" xfId="4" applyFont="1" applyFill="1" applyBorder="1">
      <alignment horizontal="left" indent="1"/>
    </xf>
    <xf numFmtId="0" fontId="33" fillId="5" borderId="0" xfId="11" applyFont="1" applyFill="1" applyBorder="1" applyAlignment="1">
      <alignment horizontal="center" vertical="top" wrapText="1"/>
    </xf>
    <xf numFmtId="18" fontId="33" fillId="5" borderId="9" xfId="11" applyNumberFormat="1" applyFont="1" applyFill="1" applyBorder="1" applyAlignment="1">
      <alignment horizontal="center" vertical="top" wrapText="1"/>
    </xf>
    <xf numFmtId="0" fontId="33" fillId="3" borderId="16" xfId="0" applyFont="1" applyFill="1" applyBorder="1" applyAlignment="1">
      <alignment horizontal="left" vertical="top" wrapText="1"/>
    </xf>
    <xf numFmtId="19" fontId="33" fillId="3" borderId="24" xfId="11" applyNumberFormat="1" applyFont="1" applyFill="1" applyBorder="1" applyAlignment="1">
      <alignment horizontal="center" vertical="top" wrapText="1"/>
    </xf>
    <xf numFmtId="19" fontId="11" fillId="3" borderId="24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>
      <alignment horizontal="left" vertical="top" wrapText="1" indent="1"/>
    </xf>
    <xf numFmtId="0" fontId="11" fillId="3" borderId="16" xfId="11" applyFont="1" applyFill="1" applyBorder="1">
      <alignment horizontal="left" vertical="top" wrapText="1" indent="1"/>
    </xf>
    <xf numFmtId="18" fontId="11" fillId="3" borderId="9" xfId="11" applyNumberFormat="1" applyFont="1" applyFill="1" applyBorder="1" applyAlignment="1">
      <alignment horizontal="center" vertical="top" wrapText="1"/>
    </xf>
    <xf numFmtId="0" fontId="11" fillId="5" borderId="24" xfId="11" applyFont="1" applyFill="1" applyBorder="1" applyAlignment="1">
      <alignment horizontal="left" vertical="top" wrapText="1"/>
    </xf>
    <xf numFmtId="0" fontId="11" fillId="5" borderId="9" xfId="11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0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8FC6E2"/>
      <color rgb="FF172743"/>
      <color rgb="FFCFAA49"/>
      <color rgb="FF6E8390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80_2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1168400</xdr:colOff>
      <xdr:row>10</xdr:row>
      <xdr:rowOff>177249</xdr:rowOff>
    </xdr:from>
    <xdr:to>
      <xdr:col>9</xdr:col>
      <xdr:colOff>0</xdr:colOff>
      <xdr:row>10</xdr:row>
      <xdr:rowOff>495300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A0D1622-0680-B94E-89C7-23A5CAE6B927}"/>
            </a:ext>
          </a:extLst>
        </xdr:cNvPr>
        <xdr:cNvSpPr txBox="1"/>
      </xdr:nvSpPr>
      <xdr:spPr>
        <a:xfrm>
          <a:off x="14084300" y="5828749"/>
          <a:ext cx="3784600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178354</xdr:rowOff>
    </xdr:from>
    <xdr:to>
      <xdr:col>7</xdr:col>
      <xdr:colOff>1193800</xdr:colOff>
      <xdr:row>10</xdr:row>
      <xdr:rowOff>495854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93A8F89-1B84-614F-9E5C-779B67B80666}"/>
            </a:ext>
          </a:extLst>
        </xdr:cNvPr>
        <xdr:cNvSpPr txBox="1"/>
      </xdr:nvSpPr>
      <xdr:spPr>
        <a:xfrm>
          <a:off x="558800" y="5829854"/>
          <a:ext cx="13550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179458</xdr:rowOff>
    </xdr:from>
    <xdr:to>
      <xdr:col>6</xdr:col>
      <xdr:colOff>12700</xdr:colOff>
      <xdr:row>14</xdr:row>
      <xdr:rowOff>496957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546100" y="8370958"/>
          <a:ext cx="99060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8</xdr:row>
      <xdr:rowOff>173567</xdr:rowOff>
    </xdr:from>
    <xdr:to>
      <xdr:col>9</xdr:col>
      <xdr:colOff>0</xdr:colOff>
      <xdr:row>8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1765300" y="4555067"/>
          <a:ext cx="16103600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1219200</xdr:colOff>
      <xdr:row>12</xdr:row>
      <xdr:rowOff>160867</xdr:rowOff>
    </xdr:from>
    <xdr:to>
      <xdr:col>9</xdr:col>
      <xdr:colOff>12700</xdr:colOff>
      <xdr:row>12</xdr:row>
      <xdr:rowOff>482600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A7E4A5-F510-D64B-A036-F4C156A06E68}"/>
            </a:ext>
          </a:extLst>
        </xdr:cNvPr>
        <xdr:cNvSpPr txBox="1"/>
      </xdr:nvSpPr>
      <xdr:spPr>
        <a:xfrm>
          <a:off x="1752600" y="7082367"/>
          <a:ext cx="16129000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0</xdr:colOff>
      <xdr:row>6</xdr:row>
      <xdr:rowOff>164548</xdr:rowOff>
    </xdr:from>
    <xdr:to>
      <xdr:col>7</xdr:col>
      <xdr:colOff>1244600</xdr:colOff>
      <xdr:row>6</xdr:row>
      <xdr:rowOff>482048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B90369C-147D-854A-8863-D2115F887B70}"/>
            </a:ext>
          </a:extLst>
        </xdr:cNvPr>
        <xdr:cNvSpPr txBox="1"/>
      </xdr:nvSpPr>
      <xdr:spPr>
        <a:xfrm>
          <a:off x="3009900" y="3276048"/>
          <a:ext cx="1115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F613DB1-4769-2D4C-A41B-67DCBAF10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  <xdr:twoCellAnchor>
    <xdr:from>
      <xdr:col>7</xdr:col>
      <xdr:colOff>1181100</xdr:colOff>
      <xdr:row>6</xdr:row>
      <xdr:rowOff>165100</xdr:rowOff>
    </xdr:from>
    <xdr:to>
      <xdr:col>9</xdr:col>
      <xdr:colOff>0</xdr:colOff>
      <xdr:row>6</xdr:row>
      <xdr:rowOff>482600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0039405-A011-7E40-8F77-073AF2570606}"/>
            </a:ext>
          </a:extLst>
        </xdr:cNvPr>
        <xdr:cNvSpPr txBox="1"/>
      </xdr:nvSpPr>
      <xdr:spPr>
        <a:xfrm>
          <a:off x="14097000" y="3276600"/>
          <a:ext cx="377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2</xdr:col>
      <xdr:colOff>1231901</xdr:colOff>
      <xdr:row>8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930E602-D1B6-9741-9A34-F85699F3AB82}"/>
            </a:ext>
          </a:extLst>
        </xdr:cNvPr>
        <xdr:cNvSpPr txBox="1"/>
      </xdr:nvSpPr>
      <xdr:spPr>
        <a:xfrm>
          <a:off x="546100" y="455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165100</xdr:rowOff>
    </xdr:from>
    <xdr:to>
      <xdr:col>2</xdr:col>
      <xdr:colOff>1219201</xdr:colOff>
      <xdr:row>12</xdr:row>
      <xdr:rowOff>482600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6B0BE63-984E-D24B-A3E7-E48C717D6A3D}"/>
            </a:ext>
          </a:extLst>
        </xdr:cNvPr>
        <xdr:cNvSpPr txBox="1"/>
      </xdr:nvSpPr>
      <xdr:spPr>
        <a:xfrm>
          <a:off x="533400" y="70866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1283804</xdr:colOff>
      <xdr:row>8</xdr:row>
      <xdr:rowOff>193812</xdr:rowOff>
    </xdr:from>
    <xdr:to>
      <xdr:col>9</xdr:col>
      <xdr:colOff>13804</xdr:colOff>
      <xdr:row>8</xdr:row>
      <xdr:rowOff>538369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6FF34EA-97D7-A543-A56D-766BC4965CFC}"/>
            </a:ext>
          </a:extLst>
        </xdr:cNvPr>
        <xdr:cNvSpPr txBox="1"/>
      </xdr:nvSpPr>
      <xdr:spPr>
        <a:xfrm>
          <a:off x="1808369" y="4569790"/>
          <a:ext cx="16026848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oneCellAnchor>
    <xdr:from>
      <xdr:col>7</xdr:col>
      <xdr:colOff>1187172</xdr:colOff>
      <xdr:row>10</xdr:row>
      <xdr:rowOff>151847</xdr:rowOff>
    </xdr:from>
    <xdr:ext cx="3754783" cy="27608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B553AA8-AA17-B44D-A1EB-9CC42D6D3212}"/>
            </a:ext>
          </a:extLst>
        </xdr:cNvPr>
        <xdr:cNvSpPr txBox="1"/>
      </xdr:nvSpPr>
      <xdr:spPr>
        <a:xfrm>
          <a:off x="14066629" y="5797825"/>
          <a:ext cx="3754783" cy="27608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oneCellAnchor>
  <xdr:twoCellAnchor>
    <xdr:from>
      <xdr:col>7</xdr:col>
      <xdr:colOff>1145760</xdr:colOff>
      <xdr:row>6</xdr:row>
      <xdr:rowOff>151849</xdr:rowOff>
    </xdr:from>
    <xdr:to>
      <xdr:col>9</xdr:col>
      <xdr:colOff>13804</xdr:colOff>
      <xdr:row>6</xdr:row>
      <xdr:rowOff>496957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EDF51BE-DB4E-B642-BD35-1FEAF15969EB}"/>
            </a:ext>
          </a:extLst>
        </xdr:cNvPr>
        <xdr:cNvSpPr txBox="1"/>
      </xdr:nvSpPr>
      <xdr:spPr>
        <a:xfrm>
          <a:off x="14025217" y="3257827"/>
          <a:ext cx="3810000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1297608</xdr:colOff>
      <xdr:row>12</xdr:row>
      <xdr:rowOff>234673</xdr:rowOff>
    </xdr:from>
    <xdr:to>
      <xdr:col>9</xdr:col>
      <xdr:colOff>0</xdr:colOff>
      <xdr:row>12</xdr:row>
      <xdr:rowOff>579782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18E0FBD-0C06-4A4A-9373-9E305CB328D4}"/>
            </a:ext>
          </a:extLst>
        </xdr:cNvPr>
        <xdr:cNvSpPr txBox="1"/>
      </xdr:nvSpPr>
      <xdr:spPr>
        <a:xfrm>
          <a:off x="1822173" y="7150651"/>
          <a:ext cx="15999240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13804</xdr:colOff>
      <xdr:row>10</xdr:row>
      <xdr:rowOff>151848</xdr:rowOff>
    </xdr:from>
    <xdr:to>
      <xdr:col>7</xdr:col>
      <xdr:colOff>1200977</xdr:colOff>
      <xdr:row>10</xdr:row>
      <xdr:rowOff>427936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2918758-7B48-4C46-A1DC-9C3E69C20515}"/>
            </a:ext>
          </a:extLst>
        </xdr:cNvPr>
        <xdr:cNvSpPr txBox="1"/>
      </xdr:nvSpPr>
      <xdr:spPr>
        <a:xfrm>
          <a:off x="538369" y="5797826"/>
          <a:ext cx="13542065" cy="27608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138044</xdr:rowOff>
    </xdr:from>
    <xdr:to>
      <xdr:col>6</xdr:col>
      <xdr:colOff>2443370</xdr:colOff>
      <xdr:row>14</xdr:row>
      <xdr:rowOff>469348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2A77BEE-3EF6-864A-85BC-E24B202A5FCC}"/>
            </a:ext>
          </a:extLst>
        </xdr:cNvPr>
        <xdr:cNvSpPr txBox="1"/>
      </xdr:nvSpPr>
      <xdr:spPr>
        <a:xfrm>
          <a:off x="524565" y="8324022"/>
          <a:ext cx="12327283" cy="33130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2208695</xdr:colOff>
      <xdr:row>1</xdr:row>
      <xdr:rowOff>634999</xdr:rowOff>
    </xdr:from>
    <xdr:to>
      <xdr:col>8</xdr:col>
      <xdr:colOff>2180103</xdr:colOff>
      <xdr:row>3</xdr:row>
      <xdr:rowOff>594909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77A721-C77E-A34A-BDD1-42123192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8152" y="828260"/>
          <a:ext cx="2442386" cy="1160888"/>
        </a:xfrm>
        <a:prstGeom prst="rect">
          <a:avLst/>
        </a:prstGeom>
      </xdr:spPr>
    </xdr:pic>
    <xdr:clientData/>
  </xdr:twoCellAnchor>
  <xdr:twoCellAnchor>
    <xdr:from>
      <xdr:col>4</xdr:col>
      <xdr:colOff>13803</xdr:colOff>
      <xdr:row>6</xdr:row>
      <xdr:rowOff>152951</xdr:rowOff>
    </xdr:from>
    <xdr:to>
      <xdr:col>7</xdr:col>
      <xdr:colOff>1146311</xdr:colOff>
      <xdr:row>6</xdr:row>
      <xdr:rowOff>497508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D6261A-1234-D345-A7BA-EBB2EE19DBD8}"/>
            </a:ext>
          </a:extLst>
        </xdr:cNvPr>
        <xdr:cNvSpPr txBox="1"/>
      </xdr:nvSpPr>
      <xdr:spPr>
        <a:xfrm>
          <a:off x="5480325" y="3258929"/>
          <a:ext cx="8545443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13805</xdr:colOff>
      <xdr:row>8</xdr:row>
      <xdr:rowOff>193260</xdr:rowOff>
    </xdr:from>
    <xdr:to>
      <xdr:col>2</xdr:col>
      <xdr:colOff>1302578</xdr:colOff>
      <xdr:row>8</xdr:row>
      <xdr:rowOff>538369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D18066-22D4-444A-B75A-0005AAA30E09}"/>
            </a:ext>
          </a:extLst>
        </xdr:cNvPr>
        <xdr:cNvSpPr txBox="1"/>
      </xdr:nvSpPr>
      <xdr:spPr>
        <a:xfrm>
          <a:off x="538370" y="4569238"/>
          <a:ext cx="1288773" cy="34510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220869</xdr:rowOff>
    </xdr:from>
    <xdr:to>
      <xdr:col>2</xdr:col>
      <xdr:colOff>1288773</xdr:colOff>
      <xdr:row>12</xdr:row>
      <xdr:rowOff>565978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9932D2C-C217-C847-9738-D9A96EC6DC42}"/>
            </a:ext>
          </a:extLst>
        </xdr:cNvPr>
        <xdr:cNvSpPr txBox="1"/>
      </xdr:nvSpPr>
      <xdr:spPr>
        <a:xfrm>
          <a:off x="524565" y="7136847"/>
          <a:ext cx="1288773" cy="34510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12700</xdr:colOff>
      <xdr:row>6</xdr:row>
      <xdr:rowOff>177800</xdr:rowOff>
    </xdr:from>
    <xdr:to>
      <xdr:col>7</xdr:col>
      <xdr:colOff>1244600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CFE792B-6856-CC40-B9D7-60A7B2D7FE0D}"/>
            </a:ext>
          </a:extLst>
        </xdr:cNvPr>
        <xdr:cNvSpPr txBox="1"/>
      </xdr:nvSpPr>
      <xdr:spPr>
        <a:xfrm>
          <a:off x="12928600" y="3289300"/>
          <a:ext cx="123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8</xdr:row>
      <xdr:rowOff>177800</xdr:rowOff>
    </xdr:from>
    <xdr:to>
      <xdr:col>9</xdr:col>
      <xdr:colOff>0</xdr:colOff>
      <xdr:row>8</xdr:row>
      <xdr:rowOff>495300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6E3C3-D0B1-1C42-944B-8F67271F7209}"/>
            </a:ext>
          </a:extLst>
        </xdr:cNvPr>
        <xdr:cNvSpPr txBox="1"/>
      </xdr:nvSpPr>
      <xdr:spPr>
        <a:xfrm>
          <a:off x="1778000" y="4559300"/>
          <a:ext cx="16090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12</xdr:row>
      <xdr:rowOff>152400</xdr:rowOff>
    </xdr:from>
    <xdr:to>
      <xdr:col>9</xdr:col>
      <xdr:colOff>0</xdr:colOff>
      <xdr:row>12</xdr:row>
      <xdr:rowOff>469900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1EDB964-7570-134E-A271-3CAF3823723E}"/>
            </a:ext>
          </a:extLst>
        </xdr:cNvPr>
        <xdr:cNvSpPr txBox="1"/>
      </xdr:nvSpPr>
      <xdr:spPr>
        <a:xfrm>
          <a:off x="1765300" y="7073900"/>
          <a:ext cx="16103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7</xdr:col>
      <xdr:colOff>1282700</xdr:colOff>
      <xdr:row>14</xdr:row>
      <xdr:rowOff>495300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546100" y="8369300"/>
          <a:ext cx="1365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190500</xdr:rowOff>
    </xdr:from>
    <xdr:to>
      <xdr:col>7</xdr:col>
      <xdr:colOff>1193800</xdr:colOff>
      <xdr:row>10</xdr:row>
      <xdr:rowOff>508000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332177F-B300-224F-8723-3E8C50501776}"/>
            </a:ext>
          </a:extLst>
        </xdr:cNvPr>
        <xdr:cNvSpPr txBox="1"/>
      </xdr:nvSpPr>
      <xdr:spPr>
        <a:xfrm>
          <a:off x="546100" y="5842000"/>
          <a:ext cx="13563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6</xdr:row>
      <xdr:rowOff>177800</xdr:rowOff>
    </xdr:from>
    <xdr:to>
      <xdr:col>9</xdr:col>
      <xdr:colOff>0</xdr:colOff>
      <xdr:row>6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21637E8-9337-1C49-8578-685326A14536}"/>
            </a:ext>
          </a:extLst>
        </xdr:cNvPr>
        <xdr:cNvSpPr txBox="1"/>
      </xdr:nvSpPr>
      <xdr:spPr>
        <a:xfrm>
          <a:off x="14147800" y="32893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10</xdr:row>
      <xdr:rowOff>190500</xdr:rowOff>
    </xdr:from>
    <xdr:to>
      <xdr:col>9</xdr:col>
      <xdr:colOff>25400</xdr:colOff>
      <xdr:row>10</xdr:row>
      <xdr:rowOff>508000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1E2FC85-AE00-ED43-988B-59DB7DC118D1}"/>
            </a:ext>
          </a:extLst>
        </xdr:cNvPr>
        <xdr:cNvSpPr txBox="1"/>
      </xdr:nvSpPr>
      <xdr:spPr>
        <a:xfrm>
          <a:off x="14109700" y="5842000"/>
          <a:ext cx="3784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FB8F0-9F6C-2E40-B4C9-EFE348203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</xdr:row>
      <xdr:rowOff>177800</xdr:rowOff>
    </xdr:from>
    <xdr:to>
      <xdr:col>2</xdr:col>
      <xdr:colOff>1257300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F3740A-D409-1440-B1A7-751AF5D2E3A2}"/>
            </a:ext>
          </a:extLst>
        </xdr:cNvPr>
        <xdr:cNvSpPr txBox="1"/>
      </xdr:nvSpPr>
      <xdr:spPr>
        <a:xfrm>
          <a:off x="571500" y="4559300"/>
          <a:ext cx="1219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12</xdr:row>
      <xdr:rowOff>152400</xdr:rowOff>
    </xdr:from>
    <xdr:to>
      <xdr:col>2</xdr:col>
      <xdr:colOff>1257300</xdr:colOff>
      <xdr:row>12</xdr:row>
      <xdr:rowOff>469899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ED6D6A0-7506-474C-A30A-F844DEAAE227}"/>
            </a:ext>
          </a:extLst>
        </xdr:cNvPr>
        <xdr:cNvSpPr txBox="1"/>
      </xdr:nvSpPr>
      <xdr:spPr>
        <a:xfrm>
          <a:off x="571500" y="7073900"/>
          <a:ext cx="1219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14</xdr:row>
      <xdr:rowOff>177800</xdr:rowOff>
    </xdr:from>
    <xdr:to>
      <xdr:col>9</xdr:col>
      <xdr:colOff>0</xdr:colOff>
      <xdr:row>14</xdr:row>
      <xdr:rowOff>495300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C7B3081-6EE9-5748-A460-749637710EAA}"/>
            </a:ext>
          </a:extLst>
        </xdr:cNvPr>
        <xdr:cNvSpPr txBox="1"/>
      </xdr:nvSpPr>
      <xdr:spPr>
        <a:xfrm>
          <a:off x="14185900" y="8369300"/>
          <a:ext cx="368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16</xdr:row>
      <xdr:rowOff>279400</xdr:rowOff>
    </xdr:from>
    <xdr:to>
      <xdr:col>2</xdr:col>
      <xdr:colOff>1219200</xdr:colOff>
      <xdr:row>16</xdr:row>
      <xdr:rowOff>596899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80C4211-B7CB-EB48-BB96-FDF43BA4757C}"/>
            </a:ext>
          </a:extLst>
        </xdr:cNvPr>
        <xdr:cNvSpPr txBox="1"/>
      </xdr:nvSpPr>
      <xdr:spPr>
        <a:xfrm>
          <a:off x="533400" y="9740900"/>
          <a:ext cx="1219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16</xdr:row>
      <xdr:rowOff>292100</xdr:rowOff>
    </xdr:from>
    <xdr:to>
      <xdr:col>3</xdr:col>
      <xdr:colOff>0</xdr:colOff>
      <xdr:row>16</xdr:row>
      <xdr:rowOff>609600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B0F2CA8-C2E5-764C-BB2A-4CD07AB4FB65}"/>
            </a:ext>
          </a:extLst>
        </xdr:cNvPr>
        <xdr:cNvSpPr txBox="1"/>
      </xdr:nvSpPr>
      <xdr:spPr>
        <a:xfrm>
          <a:off x="1752600" y="9753600"/>
          <a:ext cx="125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1130300</xdr:colOff>
      <xdr:row>8</xdr:row>
      <xdr:rowOff>228601</xdr:rowOff>
    </xdr:from>
    <xdr:to>
      <xdr:col>8</xdr:col>
      <xdr:colOff>2451100</xdr:colOff>
      <xdr:row>8</xdr:row>
      <xdr:rowOff>546101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AB149BA-2D5E-B74F-9E0F-C312CEE307C6}"/>
            </a:ext>
          </a:extLst>
        </xdr:cNvPr>
        <xdr:cNvSpPr txBox="1"/>
      </xdr:nvSpPr>
      <xdr:spPr>
        <a:xfrm>
          <a:off x="14046200" y="4610101"/>
          <a:ext cx="3797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177801</xdr:rowOff>
    </xdr:from>
    <xdr:to>
      <xdr:col>8</xdr:col>
      <xdr:colOff>2463800</xdr:colOff>
      <xdr:row>12</xdr:row>
      <xdr:rowOff>495301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0EB615E-AD14-3140-8EAA-99695CA0E578}"/>
            </a:ext>
          </a:extLst>
        </xdr:cNvPr>
        <xdr:cNvSpPr txBox="1"/>
      </xdr:nvSpPr>
      <xdr:spPr>
        <a:xfrm>
          <a:off x="14122400" y="7099301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10</xdr:row>
      <xdr:rowOff>177800</xdr:rowOff>
    </xdr:from>
    <xdr:to>
      <xdr:col>9</xdr:col>
      <xdr:colOff>0</xdr:colOff>
      <xdr:row>10</xdr:row>
      <xdr:rowOff>495299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0207000-EBE7-F449-A52D-638451331454}"/>
            </a:ext>
          </a:extLst>
        </xdr:cNvPr>
        <xdr:cNvSpPr txBox="1"/>
      </xdr:nvSpPr>
      <xdr:spPr>
        <a:xfrm>
          <a:off x="1803400" y="5829300"/>
          <a:ext cx="160655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8</xdr:row>
      <xdr:rowOff>228600</xdr:rowOff>
    </xdr:from>
    <xdr:to>
      <xdr:col>7</xdr:col>
      <xdr:colOff>1130300</xdr:colOff>
      <xdr:row>8</xdr:row>
      <xdr:rowOff>546100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571500" y="4610100"/>
          <a:ext cx="13474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177800</xdr:rowOff>
    </xdr:from>
    <xdr:to>
      <xdr:col>7</xdr:col>
      <xdr:colOff>1219200</xdr:colOff>
      <xdr:row>12</xdr:row>
      <xdr:rowOff>495300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9418EC8-8403-0640-BD70-EA3AD7ACBC90}"/>
            </a:ext>
          </a:extLst>
        </xdr:cNvPr>
        <xdr:cNvSpPr txBox="1"/>
      </xdr:nvSpPr>
      <xdr:spPr>
        <a:xfrm>
          <a:off x="546100" y="7099300"/>
          <a:ext cx="13589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177800</xdr:rowOff>
    </xdr:from>
    <xdr:to>
      <xdr:col>5</xdr:col>
      <xdr:colOff>0</xdr:colOff>
      <xdr:row>14</xdr:row>
      <xdr:rowOff>495300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1803400" y="8369300"/>
          <a:ext cx="615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2</xdr:col>
      <xdr:colOff>1269999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829F40-C57A-E745-8764-5B6AD1401B85}"/>
            </a:ext>
          </a:extLst>
        </xdr:cNvPr>
        <xdr:cNvSpPr txBox="1"/>
      </xdr:nvSpPr>
      <xdr:spPr>
        <a:xfrm>
          <a:off x="558800" y="58293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2</xdr:col>
      <xdr:colOff>1257299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9CBEFA-26F3-624B-AAE3-EF88D211BE36}"/>
            </a:ext>
          </a:extLst>
        </xdr:cNvPr>
        <xdr:cNvSpPr txBox="1"/>
      </xdr:nvSpPr>
      <xdr:spPr>
        <a:xfrm>
          <a:off x="546100" y="83693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12701</xdr:colOff>
      <xdr:row>6</xdr:row>
      <xdr:rowOff>165100</xdr:rowOff>
    </xdr:from>
    <xdr:to>
      <xdr:col>9</xdr:col>
      <xdr:colOff>1</xdr:colOff>
      <xdr:row>6</xdr:row>
      <xdr:rowOff>482599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3EE35D-E652-4C40-8B05-641CA31BF327}"/>
            </a:ext>
          </a:extLst>
        </xdr:cNvPr>
        <xdr:cNvSpPr txBox="1"/>
      </xdr:nvSpPr>
      <xdr:spPr>
        <a:xfrm>
          <a:off x="3022601" y="3276600"/>
          <a:ext cx="14846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B46813-A6ED-464A-AB3A-5A3331855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12700</xdr:colOff>
      <xdr:row>6</xdr:row>
      <xdr:rowOff>177800</xdr:rowOff>
    </xdr:from>
    <xdr:to>
      <xdr:col>9</xdr:col>
      <xdr:colOff>0</xdr:colOff>
      <xdr:row>6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185B3-01BA-E747-8124-1F9D45BA5993}"/>
            </a:ext>
          </a:extLst>
        </xdr:cNvPr>
        <xdr:cNvSpPr txBox="1"/>
      </xdr:nvSpPr>
      <xdr:spPr>
        <a:xfrm>
          <a:off x="7975600" y="3289300"/>
          <a:ext cx="989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165100</xdr:rowOff>
    </xdr:from>
    <xdr:to>
      <xdr:col>9</xdr:col>
      <xdr:colOff>12700</xdr:colOff>
      <xdr:row>10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F6388E9-778B-B948-8D1F-90399B1DB8EA}"/>
            </a:ext>
          </a:extLst>
        </xdr:cNvPr>
        <xdr:cNvSpPr txBox="1"/>
      </xdr:nvSpPr>
      <xdr:spPr>
        <a:xfrm>
          <a:off x="546100" y="58166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1143000</xdr:colOff>
      <xdr:row>14</xdr:row>
      <xdr:rowOff>190500</xdr:rowOff>
    </xdr:from>
    <xdr:to>
      <xdr:col>8</xdr:col>
      <xdr:colOff>12700</xdr:colOff>
      <xdr:row>14</xdr:row>
      <xdr:rowOff>508000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6CCEBBA-8FA8-C641-835F-4889A2F966D3}"/>
            </a:ext>
          </a:extLst>
        </xdr:cNvPr>
        <xdr:cNvSpPr txBox="1"/>
      </xdr:nvSpPr>
      <xdr:spPr>
        <a:xfrm>
          <a:off x="1676400" y="8382000"/>
          <a:ext cx="1372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165100</xdr:rowOff>
    </xdr:from>
    <xdr:to>
      <xdr:col>7</xdr:col>
      <xdr:colOff>1206500</xdr:colOff>
      <xdr:row>8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AD1FC4-A30F-3542-B264-996EA16B1C7F}"/>
            </a:ext>
          </a:extLst>
        </xdr:cNvPr>
        <xdr:cNvSpPr txBox="1"/>
      </xdr:nvSpPr>
      <xdr:spPr>
        <a:xfrm>
          <a:off x="533400" y="4546600"/>
          <a:ext cx="13589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7</xdr:col>
      <xdr:colOff>1168400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3504887-3815-2542-8748-D49828888F96}"/>
            </a:ext>
          </a:extLst>
        </xdr:cNvPr>
        <xdr:cNvSpPr txBox="1"/>
      </xdr:nvSpPr>
      <xdr:spPr>
        <a:xfrm>
          <a:off x="546100" y="7086600"/>
          <a:ext cx="1353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8</xdr:row>
      <xdr:rowOff>165100</xdr:rowOff>
    </xdr:from>
    <xdr:to>
      <xdr:col>9</xdr:col>
      <xdr:colOff>25400</xdr:colOff>
      <xdr:row>8</xdr:row>
      <xdr:rowOff>482600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A536EE4-CB1C-D14A-8BD9-B260F5011502}"/>
            </a:ext>
          </a:extLst>
        </xdr:cNvPr>
        <xdr:cNvSpPr txBox="1"/>
      </xdr:nvSpPr>
      <xdr:spPr>
        <a:xfrm>
          <a:off x="14109700" y="4546600"/>
          <a:ext cx="3784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1155700</xdr:colOff>
      <xdr:row>12</xdr:row>
      <xdr:rowOff>165100</xdr:rowOff>
    </xdr:from>
    <xdr:to>
      <xdr:col>9</xdr:col>
      <xdr:colOff>25400</xdr:colOff>
      <xdr:row>12</xdr:row>
      <xdr:rowOff>482600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9E3DD12-86F9-8447-8943-6745779D85F3}"/>
            </a:ext>
          </a:extLst>
        </xdr:cNvPr>
        <xdr:cNvSpPr txBox="1"/>
      </xdr:nvSpPr>
      <xdr:spPr>
        <a:xfrm>
          <a:off x="14071600" y="7086600"/>
          <a:ext cx="3822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647700</xdr:rowOff>
    </xdr:from>
    <xdr:to>
      <xdr:col>8</xdr:col>
      <xdr:colOff>2143108</xdr:colOff>
      <xdr:row>3</xdr:row>
      <xdr:rowOff>607610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A08C5D-FB9C-7442-8B87-2D2F65B97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38200"/>
          <a:ext cx="2447908" cy="116641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190500</xdr:rowOff>
    </xdr:from>
    <xdr:to>
      <xdr:col>2</xdr:col>
      <xdr:colOff>1181100</xdr:colOff>
      <xdr:row>14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A9440E5-F881-B64C-AC2B-E62A277329D7}"/>
            </a:ext>
          </a:extLst>
        </xdr:cNvPr>
        <xdr:cNvSpPr txBox="1"/>
      </xdr:nvSpPr>
      <xdr:spPr>
        <a:xfrm>
          <a:off x="533400" y="83820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165100</xdr:rowOff>
    </xdr:from>
    <xdr:to>
      <xdr:col>2</xdr:col>
      <xdr:colOff>1244601</xdr:colOff>
      <xdr:row>10</xdr:row>
      <xdr:rowOff>482600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49C137-E4B2-C54E-9E21-124FF04243A1}"/>
            </a:ext>
          </a:extLst>
        </xdr:cNvPr>
        <xdr:cNvSpPr txBox="1"/>
      </xdr:nvSpPr>
      <xdr:spPr>
        <a:xfrm>
          <a:off x="558800" y="58166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25400</xdr:colOff>
      <xdr:row>8</xdr:row>
      <xdr:rowOff>203200</xdr:rowOff>
    </xdr:from>
    <xdr:to>
      <xdr:col>7</xdr:col>
      <xdr:colOff>1193800</xdr:colOff>
      <xdr:row>8</xdr:row>
      <xdr:rowOff>520700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6205BA-8182-DE46-90DE-DB8BC32C9C3F}"/>
            </a:ext>
          </a:extLst>
        </xdr:cNvPr>
        <xdr:cNvSpPr txBox="1"/>
      </xdr:nvSpPr>
      <xdr:spPr>
        <a:xfrm>
          <a:off x="558800" y="4584700"/>
          <a:ext cx="13550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10</xdr:row>
      <xdr:rowOff>177800</xdr:rowOff>
    </xdr:from>
    <xdr:to>
      <xdr:col>9</xdr:col>
      <xdr:colOff>12700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B0D59D-83EA-674A-B7D2-A7B524812657}"/>
            </a:ext>
          </a:extLst>
        </xdr:cNvPr>
        <xdr:cNvSpPr txBox="1"/>
      </xdr:nvSpPr>
      <xdr:spPr>
        <a:xfrm>
          <a:off x="1752600" y="5829300"/>
          <a:ext cx="16129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177800</xdr:rowOff>
    </xdr:from>
    <xdr:to>
      <xdr:col>7</xdr:col>
      <xdr:colOff>1206500</xdr:colOff>
      <xdr:row>12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C9C382-83F5-7D4D-9A43-A8F0E2201F72}"/>
            </a:ext>
          </a:extLst>
        </xdr:cNvPr>
        <xdr:cNvSpPr txBox="1"/>
      </xdr:nvSpPr>
      <xdr:spPr>
        <a:xfrm>
          <a:off x="546100" y="7099300"/>
          <a:ext cx="13576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1181100</xdr:colOff>
      <xdr:row>8</xdr:row>
      <xdr:rowOff>203200</xdr:rowOff>
    </xdr:from>
    <xdr:to>
      <xdr:col>9</xdr:col>
      <xdr:colOff>12700</xdr:colOff>
      <xdr:row>8</xdr:row>
      <xdr:rowOff>520700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2517B8E-23E0-1E45-9EB7-6F554E12DCBB}"/>
            </a:ext>
          </a:extLst>
        </xdr:cNvPr>
        <xdr:cNvSpPr txBox="1"/>
      </xdr:nvSpPr>
      <xdr:spPr>
        <a:xfrm>
          <a:off x="14097000" y="4584700"/>
          <a:ext cx="3784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12</xdr:row>
      <xdr:rowOff>177800</xdr:rowOff>
    </xdr:from>
    <xdr:to>
      <xdr:col>9</xdr:col>
      <xdr:colOff>0</xdr:colOff>
      <xdr:row>12</xdr:row>
      <xdr:rowOff>495300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4721A6D-581E-894F-B7CC-46E97DBE2595}"/>
            </a:ext>
          </a:extLst>
        </xdr:cNvPr>
        <xdr:cNvSpPr txBox="1"/>
      </xdr:nvSpPr>
      <xdr:spPr>
        <a:xfrm>
          <a:off x="14109700" y="7099300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14</xdr:row>
      <xdr:rowOff>177800</xdr:rowOff>
    </xdr:from>
    <xdr:to>
      <xdr:col>9</xdr:col>
      <xdr:colOff>12700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174E2D-770C-344F-B573-C48C3040F84F}"/>
            </a:ext>
          </a:extLst>
        </xdr:cNvPr>
        <xdr:cNvSpPr txBox="1"/>
      </xdr:nvSpPr>
      <xdr:spPr>
        <a:xfrm>
          <a:off x="1765300" y="8369300"/>
          <a:ext cx="16116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56F1F98-19C5-704F-A9AD-A79AEAA0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6</xdr:row>
      <xdr:rowOff>215900</xdr:rowOff>
    </xdr:from>
    <xdr:to>
      <xdr:col>9</xdr:col>
      <xdr:colOff>12701</xdr:colOff>
      <xdr:row>6</xdr:row>
      <xdr:rowOff>520700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C6BF98-9CAC-A64A-A27F-A77EDCC5BF65}"/>
            </a:ext>
          </a:extLst>
        </xdr:cNvPr>
        <xdr:cNvSpPr txBox="1"/>
      </xdr:nvSpPr>
      <xdr:spPr>
        <a:xfrm>
          <a:off x="15392400" y="3327400"/>
          <a:ext cx="2489201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10</xdr:row>
      <xdr:rowOff>177800</xdr:rowOff>
    </xdr:from>
    <xdr:to>
      <xdr:col>2</xdr:col>
      <xdr:colOff>1244599</xdr:colOff>
      <xdr:row>10</xdr:row>
      <xdr:rowOff>495300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7AC6176-4F46-D94F-8320-60665E795DA3}"/>
            </a:ext>
          </a:extLst>
        </xdr:cNvPr>
        <xdr:cNvSpPr txBox="1"/>
      </xdr:nvSpPr>
      <xdr:spPr>
        <a:xfrm>
          <a:off x="533400" y="582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177800</xdr:rowOff>
    </xdr:from>
    <xdr:to>
      <xdr:col>2</xdr:col>
      <xdr:colOff>1244599</xdr:colOff>
      <xdr:row>14</xdr:row>
      <xdr:rowOff>495300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0F9F39F-F83B-154D-BF46-D08AAA112C88}"/>
            </a:ext>
          </a:extLst>
        </xdr:cNvPr>
        <xdr:cNvSpPr txBox="1"/>
      </xdr:nvSpPr>
      <xdr:spPr>
        <a:xfrm>
          <a:off x="533400" y="582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16</xdr:row>
      <xdr:rowOff>215900</xdr:rowOff>
    </xdr:from>
    <xdr:to>
      <xdr:col>3</xdr:col>
      <xdr:colOff>12701</xdr:colOff>
      <xdr:row>16</xdr:row>
      <xdr:rowOff>520700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E54EF96-7B27-3746-AF19-61D6B26DBC4D}"/>
            </a:ext>
          </a:extLst>
        </xdr:cNvPr>
        <xdr:cNvSpPr txBox="1"/>
      </xdr:nvSpPr>
      <xdr:spPr>
        <a:xfrm>
          <a:off x="533400" y="9677400"/>
          <a:ext cx="2489201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10</xdr:row>
      <xdr:rowOff>165100</xdr:rowOff>
    </xdr:from>
    <xdr:to>
      <xdr:col>7</xdr:col>
      <xdr:colOff>1308100</xdr:colOff>
      <xdr:row>10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80F5A8-C3A5-7E41-A511-43096C23D6F1}"/>
            </a:ext>
          </a:extLst>
        </xdr:cNvPr>
        <xdr:cNvSpPr txBox="1"/>
      </xdr:nvSpPr>
      <xdr:spPr>
        <a:xfrm>
          <a:off x="546100" y="5816600"/>
          <a:ext cx="1367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6</xdr:col>
      <xdr:colOff>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B0A8D8-157A-4148-A2EF-620916A81195}"/>
            </a:ext>
          </a:extLst>
        </xdr:cNvPr>
        <xdr:cNvSpPr txBox="1"/>
      </xdr:nvSpPr>
      <xdr:spPr>
        <a:xfrm>
          <a:off x="546100" y="8369300"/>
          <a:ext cx="989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12</xdr:row>
      <xdr:rowOff>165100</xdr:rowOff>
    </xdr:from>
    <xdr:to>
      <xdr:col>9</xdr:col>
      <xdr:colOff>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1803400" y="7086600"/>
          <a:ext cx="1606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8</xdr:row>
      <xdr:rowOff>177800</xdr:rowOff>
    </xdr:from>
    <xdr:to>
      <xdr:col>9</xdr:col>
      <xdr:colOff>0</xdr:colOff>
      <xdr:row>8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429B44-56F4-394D-957D-7138032256DD}"/>
            </a:ext>
          </a:extLst>
        </xdr:cNvPr>
        <xdr:cNvSpPr txBox="1"/>
      </xdr:nvSpPr>
      <xdr:spPr>
        <a:xfrm>
          <a:off x="1778000" y="4559300"/>
          <a:ext cx="16090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1308100</xdr:colOff>
      <xdr:row>10</xdr:row>
      <xdr:rowOff>165100</xdr:rowOff>
    </xdr:from>
    <xdr:to>
      <xdr:col>9</xdr:col>
      <xdr:colOff>0</xdr:colOff>
      <xdr:row>10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76A7E44-97DC-6746-9DAE-45D13AF17707}"/>
            </a:ext>
          </a:extLst>
        </xdr:cNvPr>
        <xdr:cNvSpPr txBox="1"/>
      </xdr:nvSpPr>
      <xdr:spPr>
        <a:xfrm>
          <a:off x="14224000" y="5816600"/>
          <a:ext cx="364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6</xdr:row>
      <xdr:rowOff>152400</xdr:rowOff>
    </xdr:from>
    <xdr:to>
      <xdr:col>9</xdr:col>
      <xdr:colOff>0</xdr:colOff>
      <xdr:row>6</xdr:row>
      <xdr:rowOff>469900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69310B-B9A0-5041-B75D-C5861CADF0BF}"/>
            </a:ext>
          </a:extLst>
        </xdr:cNvPr>
        <xdr:cNvSpPr txBox="1"/>
      </xdr:nvSpPr>
      <xdr:spPr>
        <a:xfrm>
          <a:off x="14160500" y="3263900"/>
          <a:ext cx="370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2</xdr:col>
      <xdr:colOff>1269999</xdr:colOff>
      <xdr:row>8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2BE612-7EE1-AD49-9C53-0BBEAFBBF3B9}"/>
            </a:ext>
          </a:extLst>
        </xdr:cNvPr>
        <xdr:cNvSpPr txBox="1"/>
      </xdr:nvSpPr>
      <xdr:spPr>
        <a:xfrm>
          <a:off x="558800" y="455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2</xdr:col>
      <xdr:colOff>1269999</xdr:colOff>
      <xdr:row>12</xdr:row>
      <xdr:rowOff>482600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C4B1A8-E762-BB41-96C5-C9E0D7F7B66D}"/>
            </a:ext>
          </a:extLst>
        </xdr:cNvPr>
        <xdr:cNvSpPr txBox="1"/>
      </xdr:nvSpPr>
      <xdr:spPr>
        <a:xfrm>
          <a:off x="558800" y="70866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8E3F3E5-6849-EC43-94C7-82DF1EF7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</xdr:row>
      <xdr:rowOff>152400</xdr:rowOff>
    </xdr:from>
    <xdr:to>
      <xdr:col>7</xdr:col>
      <xdr:colOff>1270000</xdr:colOff>
      <xdr:row>6</xdr:row>
      <xdr:rowOff>469900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3A1A85-79FB-4D4C-AFE7-20CCD01CC069}"/>
            </a:ext>
          </a:extLst>
        </xdr:cNvPr>
        <xdr:cNvSpPr txBox="1"/>
      </xdr:nvSpPr>
      <xdr:spPr>
        <a:xfrm>
          <a:off x="3022600" y="3263900"/>
          <a:ext cx="1116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0</xdr:colOff>
      <xdr:row>6</xdr:row>
      <xdr:rowOff>177800</xdr:rowOff>
    </xdr:from>
    <xdr:to>
      <xdr:col>7</xdr:col>
      <xdr:colOff>1219200</xdr:colOff>
      <xdr:row>6</xdr:row>
      <xdr:rowOff>495299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4DB4E4-83E6-4641-AB28-E0BDDB802CD8}"/>
            </a:ext>
          </a:extLst>
        </xdr:cNvPr>
        <xdr:cNvSpPr txBox="1"/>
      </xdr:nvSpPr>
      <xdr:spPr>
        <a:xfrm>
          <a:off x="10439400" y="3289300"/>
          <a:ext cx="369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177800</xdr:rowOff>
    </xdr:from>
    <xdr:to>
      <xdr:col>9</xdr:col>
      <xdr:colOff>12700</xdr:colOff>
      <xdr:row>8</xdr:row>
      <xdr:rowOff>495299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B194E77-6B82-594E-8979-2B6E7A56B12E}"/>
            </a:ext>
          </a:extLst>
        </xdr:cNvPr>
        <xdr:cNvSpPr txBox="1"/>
      </xdr:nvSpPr>
      <xdr:spPr>
        <a:xfrm>
          <a:off x="1790700" y="4559300"/>
          <a:ext cx="160909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7</xdr:col>
      <xdr:colOff>1206500</xdr:colOff>
      <xdr:row>10</xdr:row>
      <xdr:rowOff>495299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546100" y="5829300"/>
          <a:ext cx="13576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12</xdr:row>
      <xdr:rowOff>203200</xdr:rowOff>
    </xdr:from>
    <xdr:to>
      <xdr:col>9</xdr:col>
      <xdr:colOff>12700</xdr:colOff>
      <xdr:row>12</xdr:row>
      <xdr:rowOff>520699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E994F9-6A1D-5644-82DF-ED3E5192AA1A}"/>
            </a:ext>
          </a:extLst>
        </xdr:cNvPr>
        <xdr:cNvSpPr txBox="1"/>
      </xdr:nvSpPr>
      <xdr:spPr>
        <a:xfrm>
          <a:off x="1803400" y="7124700"/>
          <a:ext cx="16078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203200</xdr:rowOff>
    </xdr:from>
    <xdr:to>
      <xdr:col>7</xdr:col>
      <xdr:colOff>1231900</xdr:colOff>
      <xdr:row>14</xdr:row>
      <xdr:rowOff>520699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57B9C8-B121-5C41-ABB6-FD0CF1331AB9}"/>
            </a:ext>
          </a:extLst>
        </xdr:cNvPr>
        <xdr:cNvSpPr txBox="1"/>
      </xdr:nvSpPr>
      <xdr:spPr>
        <a:xfrm>
          <a:off x="546100" y="8394700"/>
          <a:ext cx="13601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6</xdr:row>
      <xdr:rowOff>177800</xdr:rowOff>
    </xdr:from>
    <xdr:to>
      <xdr:col>9</xdr:col>
      <xdr:colOff>0</xdr:colOff>
      <xdr:row>6</xdr:row>
      <xdr:rowOff>495299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22C7B17-5DBC-A040-9AB1-3AE59F02FA7F}"/>
            </a:ext>
          </a:extLst>
        </xdr:cNvPr>
        <xdr:cNvSpPr txBox="1"/>
      </xdr:nvSpPr>
      <xdr:spPr>
        <a:xfrm>
          <a:off x="14122400" y="3289300"/>
          <a:ext cx="3746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177800</xdr:rowOff>
    </xdr:from>
    <xdr:to>
      <xdr:col>9</xdr:col>
      <xdr:colOff>25400</xdr:colOff>
      <xdr:row>10</xdr:row>
      <xdr:rowOff>495299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781C92D-0B34-F54D-9B4C-1951FDFF4BCE}"/>
            </a:ext>
          </a:extLst>
        </xdr:cNvPr>
        <xdr:cNvSpPr txBox="1"/>
      </xdr:nvSpPr>
      <xdr:spPr>
        <a:xfrm>
          <a:off x="14122400" y="5829300"/>
          <a:ext cx="3771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D136CD-66EA-BB4E-956A-26A834337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</xdr:row>
      <xdr:rowOff>177800</xdr:rowOff>
    </xdr:from>
    <xdr:to>
      <xdr:col>2</xdr:col>
      <xdr:colOff>1269999</xdr:colOff>
      <xdr:row>8</xdr:row>
      <xdr:rowOff>495300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3CB970-7382-2840-BD87-084C668F23F8}"/>
            </a:ext>
          </a:extLst>
        </xdr:cNvPr>
        <xdr:cNvSpPr txBox="1"/>
      </xdr:nvSpPr>
      <xdr:spPr>
        <a:xfrm>
          <a:off x="558800" y="58293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203200</xdr:rowOff>
    </xdr:from>
    <xdr:to>
      <xdr:col>2</xdr:col>
      <xdr:colOff>1269999</xdr:colOff>
      <xdr:row>12</xdr:row>
      <xdr:rowOff>520700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917A407-97BC-2D46-BA74-8486F95DC5B9}"/>
            </a:ext>
          </a:extLst>
        </xdr:cNvPr>
        <xdr:cNvSpPr txBox="1"/>
      </xdr:nvSpPr>
      <xdr:spPr>
        <a:xfrm>
          <a:off x="558800" y="71247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14</xdr:row>
      <xdr:rowOff>203200</xdr:rowOff>
    </xdr:from>
    <xdr:to>
      <xdr:col>9</xdr:col>
      <xdr:colOff>25400</xdr:colOff>
      <xdr:row>14</xdr:row>
      <xdr:rowOff>520699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C50BB4D-F4C4-7F4B-8364-8FE36A4AFC7D}"/>
            </a:ext>
          </a:extLst>
        </xdr:cNvPr>
        <xdr:cNvSpPr txBox="1"/>
      </xdr:nvSpPr>
      <xdr:spPr>
        <a:xfrm>
          <a:off x="14122400" y="8394700"/>
          <a:ext cx="3771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6</xdr:row>
      <xdr:rowOff>164352</xdr:rowOff>
    </xdr:from>
    <xdr:to>
      <xdr:col>2</xdr:col>
      <xdr:colOff>1299883</xdr:colOff>
      <xdr:row>6</xdr:row>
      <xdr:rowOff>507999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8E24310-D602-7540-B1CD-8DA893B7D18F}"/>
            </a:ext>
          </a:extLst>
        </xdr:cNvPr>
        <xdr:cNvSpPr txBox="1"/>
      </xdr:nvSpPr>
      <xdr:spPr>
        <a:xfrm>
          <a:off x="537882" y="3287058"/>
          <a:ext cx="1299883" cy="3436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12</xdr:row>
      <xdr:rowOff>134470</xdr:rowOff>
    </xdr:from>
    <xdr:to>
      <xdr:col>9</xdr:col>
      <xdr:colOff>12700</xdr:colOff>
      <xdr:row>12</xdr:row>
      <xdr:rowOff>512483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7730E47-5E19-5A4B-A319-69141FB5DA8C}"/>
            </a:ext>
          </a:extLst>
        </xdr:cNvPr>
        <xdr:cNvSpPr txBox="1"/>
      </xdr:nvSpPr>
      <xdr:spPr>
        <a:xfrm>
          <a:off x="14209059" y="7067176"/>
          <a:ext cx="3703170" cy="37801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149413</xdr:rowOff>
    </xdr:from>
    <xdr:to>
      <xdr:col>7</xdr:col>
      <xdr:colOff>1210235</xdr:colOff>
      <xdr:row>8</xdr:row>
      <xdr:rowOff>495301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34DC555-A003-104E-9A66-09B82D5665E7}"/>
            </a:ext>
          </a:extLst>
        </xdr:cNvPr>
        <xdr:cNvSpPr txBox="1"/>
      </xdr:nvSpPr>
      <xdr:spPr>
        <a:xfrm>
          <a:off x="550582" y="4542119"/>
          <a:ext cx="13598712" cy="34588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10</xdr:row>
      <xdr:rowOff>164353</xdr:rowOff>
    </xdr:from>
    <xdr:to>
      <xdr:col>8</xdr:col>
      <xdr:colOff>2465294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1820582" y="5827059"/>
          <a:ext cx="16064006" cy="33094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134470</xdr:rowOff>
    </xdr:from>
    <xdr:to>
      <xdr:col>7</xdr:col>
      <xdr:colOff>1284941</xdr:colOff>
      <xdr:row>12</xdr:row>
      <xdr:rowOff>497541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F7FFACA-A3E8-654E-9F63-725ABC5BFABF}"/>
            </a:ext>
          </a:extLst>
        </xdr:cNvPr>
        <xdr:cNvSpPr txBox="1"/>
      </xdr:nvSpPr>
      <xdr:spPr>
        <a:xfrm>
          <a:off x="550582" y="7067176"/>
          <a:ext cx="13673418" cy="36307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179294</xdr:rowOff>
    </xdr:from>
    <xdr:to>
      <xdr:col>4</xdr:col>
      <xdr:colOff>0</xdr:colOff>
      <xdr:row>14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2B388E-DA49-7B4D-93E0-7F225D842C56}"/>
            </a:ext>
          </a:extLst>
        </xdr:cNvPr>
        <xdr:cNvSpPr txBox="1"/>
      </xdr:nvSpPr>
      <xdr:spPr>
        <a:xfrm>
          <a:off x="1807882" y="8382000"/>
          <a:ext cx="3690471" cy="31600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1284942</xdr:colOff>
      <xdr:row>6</xdr:row>
      <xdr:rowOff>180041</xdr:rowOff>
    </xdr:from>
    <xdr:to>
      <xdr:col>9</xdr:col>
      <xdr:colOff>25400</xdr:colOff>
      <xdr:row>6</xdr:row>
      <xdr:rowOff>508000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9E6599-C054-8F44-B435-298E93FC37EF}"/>
            </a:ext>
          </a:extLst>
        </xdr:cNvPr>
        <xdr:cNvSpPr txBox="1"/>
      </xdr:nvSpPr>
      <xdr:spPr>
        <a:xfrm>
          <a:off x="1822824" y="3302747"/>
          <a:ext cx="16102105" cy="3279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165100</xdr:rowOff>
    </xdr:from>
    <xdr:to>
      <xdr:col>2</xdr:col>
      <xdr:colOff>1282700</xdr:colOff>
      <xdr:row>10</xdr:row>
      <xdr:rowOff>482599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AA3F8C-0E4A-8E4F-901C-670E7FD21687}"/>
            </a:ext>
          </a:extLst>
        </xdr:cNvPr>
        <xdr:cNvSpPr txBox="1"/>
      </xdr:nvSpPr>
      <xdr:spPr>
        <a:xfrm>
          <a:off x="558800" y="58166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2</xdr:col>
      <xdr:colOff>1282700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F3EA5-420A-B24A-8C9A-39D9ECC6AC7E}"/>
            </a:ext>
          </a:extLst>
        </xdr:cNvPr>
        <xdr:cNvSpPr txBox="1"/>
      </xdr:nvSpPr>
      <xdr:spPr>
        <a:xfrm>
          <a:off x="558800" y="836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2151529</xdr:colOff>
      <xdr:row>1</xdr:row>
      <xdr:rowOff>642471</xdr:rowOff>
    </xdr:from>
    <xdr:to>
      <xdr:col>8</xdr:col>
      <xdr:colOff>2122937</xdr:colOff>
      <xdr:row>3</xdr:row>
      <xdr:rowOff>602381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C10F7FD-F630-874C-A6F3-BBFE9C61E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0588" y="836706"/>
          <a:ext cx="2451643" cy="1170146"/>
        </a:xfrm>
        <a:prstGeom prst="rect">
          <a:avLst/>
        </a:prstGeom>
      </xdr:spPr>
    </xdr:pic>
    <xdr:clientData/>
  </xdr:twoCellAnchor>
  <xdr:twoCellAnchor>
    <xdr:from>
      <xdr:col>7</xdr:col>
      <xdr:colOff>1195294</xdr:colOff>
      <xdr:row>8</xdr:row>
      <xdr:rowOff>164353</xdr:rowOff>
    </xdr:from>
    <xdr:to>
      <xdr:col>9</xdr:col>
      <xdr:colOff>36606</xdr:colOff>
      <xdr:row>8</xdr:row>
      <xdr:rowOff>481853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37C625-0BED-9E49-A9D7-D995AC60119B}"/>
            </a:ext>
          </a:extLst>
        </xdr:cNvPr>
        <xdr:cNvSpPr txBox="1"/>
      </xdr:nvSpPr>
      <xdr:spPr>
        <a:xfrm>
          <a:off x="14134353" y="4557059"/>
          <a:ext cx="3801782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1257300</xdr:colOff>
      <xdr:row>8</xdr:row>
      <xdr:rowOff>177800</xdr:rowOff>
    </xdr:from>
    <xdr:to>
      <xdr:col>9</xdr:col>
      <xdr:colOff>25400</xdr:colOff>
      <xdr:row>8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4A5C22-ABAD-8844-A91F-1DC70B90A9BA}"/>
            </a:ext>
          </a:extLst>
        </xdr:cNvPr>
        <xdr:cNvSpPr txBox="1"/>
      </xdr:nvSpPr>
      <xdr:spPr>
        <a:xfrm>
          <a:off x="14173200" y="45593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177800</xdr:rowOff>
    </xdr:from>
    <xdr:to>
      <xdr:col>9</xdr:col>
      <xdr:colOff>0</xdr:colOff>
      <xdr:row>12</xdr:row>
      <xdr:rowOff>495300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372A26-E0C4-9240-941E-73A57B6BD8C1}"/>
            </a:ext>
          </a:extLst>
        </xdr:cNvPr>
        <xdr:cNvSpPr txBox="1"/>
      </xdr:nvSpPr>
      <xdr:spPr>
        <a:xfrm>
          <a:off x="14122400" y="7099300"/>
          <a:ext cx="374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7</xdr:col>
      <xdr:colOff>1270000</xdr:colOff>
      <xdr:row>8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558800" y="4559300"/>
          <a:ext cx="13627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1320800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352BF3-3648-6944-9BE6-3E656322D497}"/>
            </a:ext>
          </a:extLst>
        </xdr:cNvPr>
        <xdr:cNvSpPr txBox="1"/>
      </xdr:nvSpPr>
      <xdr:spPr>
        <a:xfrm>
          <a:off x="1854200" y="5829300"/>
          <a:ext cx="16014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165100</xdr:rowOff>
    </xdr:from>
    <xdr:to>
      <xdr:col>7</xdr:col>
      <xdr:colOff>1219200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50F66AE-83D3-4F4B-9381-03BD33C23C27}"/>
            </a:ext>
          </a:extLst>
        </xdr:cNvPr>
        <xdr:cNvSpPr txBox="1"/>
      </xdr:nvSpPr>
      <xdr:spPr>
        <a:xfrm>
          <a:off x="533400" y="7086600"/>
          <a:ext cx="13601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1333500</xdr:colOff>
      <xdr:row>14</xdr:row>
      <xdr:rowOff>177800</xdr:rowOff>
    </xdr:from>
    <xdr:to>
      <xdr:col>7</xdr:col>
      <xdr:colOff>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EA60094-78AB-1940-BE51-C08F8B5D980F}"/>
            </a:ext>
          </a:extLst>
        </xdr:cNvPr>
        <xdr:cNvSpPr txBox="1"/>
      </xdr:nvSpPr>
      <xdr:spPr>
        <a:xfrm>
          <a:off x="1866900" y="8369300"/>
          <a:ext cx="11049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0</xdr:colOff>
      <xdr:row>6</xdr:row>
      <xdr:rowOff>228600</xdr:rowOff>
    </xdr:from>
    <xdr:to>
      <xdr:col>9</xdr:col>
      <xdr:colOff>12700</xdr:colOff>
      <xdr:row>6</xdr:row>
      <xdr:rowOff>546100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D18B1F-D8C4-CA43-ACEB-C268092F5CD0}"/>
            </a:ext>
          </a:extLst>
        </xdr:cNvPr>
        <xdr:cNvSpPr txBox="1"/>
      </xdr:nvSpPr>
      <xdr:spPr>
        <a:xfrm>
          <a:off x="5486400" y="3340100"/>
          <a:ext cx="1239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647700</xdr:rowOff>
    </xdr:from>
    <xdr:to>
      <xdr:col>8</xdr:col>
      <xdr:colOff>2143108</xdr:colOff>
      <xdr:row>3</xdr:row>
      <xdr:rowOff>607610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3131FDE-6E93-BB40-A870-9A19B2595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38200"/>
          <a:ext cx="2447908" cy="116641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177800</xdr:rowOff>
    </xdr:from>
    <xdr:to>
      <xdr:col>2</xdr:col>
      <xdr:colOff>1346200</xdr:colOff>
      <xdr:row>10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EFBAB2-81D0-8A4E-BD23-3B4995F1B0A1}"/>
            </a:ext>
          </a:extLst>
        </xdr:cNvPr>
        <xdr:cNvSpPr txBox="1"/>
      </xdr:nvSpPr>
      <xdr:spPr>
        <a:xfrm>
          <a:off x="533400" y="5829300"/>
          <a:ext cx="1346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177800</xdr:rowOff>
    </xdr:from>
    <xdr:to>
      <xdr:col>2</xdr:col>
      <xdr:colOff>1346200</xdr:colOff>
      <xdr:row>14</xdr:row>
      <xdr:rowOff>495300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CDFD55F-8B8D-0548-AE34-DFBDE2A79A45}"/>
            </a:ext>
          </a:extLst>
        </xdr:cNvPr>
        <xdr:cNvSpPr txBox="1"/>
      </xdr:nvSpPr>
      <xdr:spPr>
        <a:xfrm>
          <a:off x="533400" y="5829300"/>
          <a:ext cx="1346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8</xdr:row>
      <xdr:rowOff>177800</xdr:rowOff>
    </xdr:from>
    <xdr:to>
      <xdr:col>7</xdr:col>
      <xdr:colOff>1270000</xdr:colOff>
      <xdr:row>8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533400" y="4559300"/>
          <a:ext cx="1365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10</xdr:row>
      <xdr:rowOff>177800</xdr:rowOff>
    </xdr:from>
    <xdr:to>
      <xdr:col>9</xdr:col>
      <xdr:colOff>25400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852F1F-BAAD-E84F-AA33-D363BE3637E2}"/>
            </a:ext>
          </a:extLst>
        </xdr:cNvPr>
        <xdr:cNvSpPr txBox="1"/>
      </xdr:nvSpPr>
      <xdr:spPr>
        <a:xfrm>
          <a:off x="1803400" y="5829300"/>
          <a:ext cx="16090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152400</xdr:rowOff>
    </xdr:from>
    <xdr:to>
      <xdr:col>7</xdr:col>
      <xdr:colOff>1181100</xdr:colOff>
      <xdr:row>12</xdr:row>
      <xdr:rowOff>469900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2C1A15-F4F4-D948-B925-F2249592F4B5}"/>
            </a:ext>
          </a:extLst>
        </xdr:cNvPr>
        <xdr:cNvSpPr txBox="1"/>
      </xdr:nvSpPr>
      <xdr:spPr>
        <a:xfrm>
          <a:off x="546100" y="7073900"/>
          <a:ext cx="13550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165100</xdr:rowOff>
    </xdr:from>
    <xdr:to>
      <xdr:col>9</xdr:col>
      <xdr:colOff>0</xdr:colOff>
      <xdr:row>14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F50A623-D493-F44E-9B3D-8DDE42160E44}"/>
            </a:ext>
          </a:extLst>
        </xdr:cNvPr>
        <xdr:cNvSpPr txBox="1"/>
      </xdr:nvSpPr>
      <xdr:spPr>
        <a:xfrm>
          <a:off x="1803400" y="8356600"/>
          <a:ext cx="1606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8</xdr:row>
      <xdr:rowOff>177800</xdr:rowOff>
    </xdr:from>
    <xdr:to>
      <xdr:col>9</xdr:col>
      <xdr:colOff>12700</xdr:colOff>
      <xdr:row>8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E318D49-D3ED-6644-B712-8EC842594989}"/>
            </a:ext>
          </a:extLst>
        </xdr:cNvPr>
        <xdr:cNvSpPr txBox="1"/>
      </xdr:nvSpPr>
      <xdr:spPr>
        <a:xfrm>
          <a:off x="14160500" y="45593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12</xdr:row>
      <xdr:rowOff>152400</xdr:rowOff>
    </xdr:from>
    <xdr:to>
      <xdr:col>9</xdr:col>
      <xdr:colOff>12700</xdr:colOff>
      <xdr:row>12</xdr:row>
      <xdr:rowOff>469900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C575B22-A106-5F4D-9968-3567833C952E}"/>
            </a:ext>
          </a:extLst>
        </xdr:cNvPr>
        <xdr:cNvSpPr txBox="1"/>
      </xdr:nvSpPr>
      <xdr:spPr>
        <a:xfrm>
          <a:off x="14084300" y="7073900"/>
          <a:ext cx="3797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2143108</xdr:colOff>
      <xdr:row>3</xdr:row>
      <xdr:rowOff>594910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AAA28B-1ED4-E64C-846C-22249A716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47908" cy="116641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203200</xdr:rowOff>
    </xdr:from>
    <xdr:to>
      <xdr:col>9</xdr:col>
      <xdr:colOff>12700</xdr:colOff>
      <xdr:row>6</xdr:row>
      <xdr:rowOff>520700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775869B-21DB-E846-8F33-BB74377E2041}"/>
            </a:ext>
          </a:extLst>
        </xdr:cNvPr>
        <xdr:cNvSpPr txBox="1"/>
      </xdr:nvSpPr>
      <xdr:spPr>
        <a:xfrm>
          <a:off x="12915900" y="3314700"/>
          <a:ext cx="496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190500</xdr:rowOff>
    </xdr:from>
    <xdr:to>
      <xdr:col>2</xdr:col>
      <xdr:colOff>1270000</xdr:colOff>
      <xdr:row>10</xdr:row>
      <xdr:rowOff>482599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EC8496A-A608-C145-845B-67485AD8C364}"/>
            </a:ext>
          </a:extLst>
        </xdr:cNvPr>
        <xdr:cNvSpPr txBox="1"/>
      </xdr:nvSpPr>
      <xdr:spPr>
        <a:xfrm>
          <a:off x="546100" y="5842000"/>
          <a:ext cx="1257300" cy="2920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165100</xdr:rowOff>
    </xdr:from>
    <xdr:to>
      <xdr:col>2</xdr:col>
      <xdr:colOff>1270000</xdr:colOff>
      <xdr:row>14</xdr:row>
      <xdr:rowOff>482599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2D26A24-C6AF-244D-BDA7-62BDAFCC1A36}"/>
            </a:ext>
          </a:extLst>
        </xdr:cNvPr>
        <xdr:cNvSpPr txBox="1"/>
      </xdr:nvSpPr>
      <xdr:spPr>
        <a:xfrm>
          <a:off x="546100" y="83566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1206500</xdr:colOff>
      <xdr:row>6</xdr:row>
      <xdr:rowOff>177801</xdr:rowOff>
    </xdr:from>
    <xdr:to>
      <xdr:col>9</xdr:col>
      <xdr:colOff>12700</xdr:colOff>
      <xdr:row>6</xdr:row>
      <xdr:rowOff>495301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958846-8460-EF4A-968D-BF9136819143}"/>
            </a:ext>
          </a:extLst>
        </xdr:cNvPr>
        <xdr:cNvSpPr txBox="1"/>
      </xdr:nvSpPr>
      <xdr:spPr>
        <a:xfrm>
          <a:off x="14122400" y="3289301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10</xdr:row>
      <xdr:rowOff>177800</xdr:rowOff>
    </xdr:from>
    <xdr:to>
      <xdr:col>9</xdr:col>
      <xdr:colOff>0</xdr:colOff>
      <xdr:row>10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CE7369-3646-6947-9D5A-B4F701BEE393}"/>
            </a:ext>
          </a:extLst>
        </xdr:cNvPr>
        <xdr:cNvSpPr txBox="1"/>
      </xdr:nvSpPr>
      <xdr:spPr>
        <a:xfrm>
          <a:off x="14109700" y="5829300"/>
          <a:ext cx="37592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8</xdr:row>
      <xdr:rowOff>190500</xdr:rowOff>
    </xdr:from>
    <xdr:to>
      <xdr:col>9</xdr:col>
      <xdr:colOff>0</xdr:colOff>
      <xdr:row>8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1739900" y="4572000"/>
          <a:ext cx="16129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7</xdr:col>
      <xdr:colOff>1219200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86C438-4799-D44C-8712-0B8AA1D0E1A7}"/>
            </a:ext>
          </a:extLst>
        </xdr:cNvPr>
        <xdr:cNvSpPr txBox="1"/>
      </xdr:nvSpPr>
      <xdr:spPr>
        <a:xfrm>
          <a:off x="558800" y="5829300"/>
          <a:ext cx="13576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1193800</xdr:colOff>
      <xdr:row>12</xdr:row>
      <xdr:rowOff>165100</xdr:rowOff>
    </xdr:from>
    <xdr:to>
      <xdr:col>9</xdr:col>
      <xdr:colOff>0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120586C-C075-734E-8826-5BCA0C786220}"/>
            </a:ext>
          </a:extLst>
        </xdr:cNvPr>
        <xdr:cNvSpPr txBox="1"/>
      </xdr:nvSpPr>
      <xdr:spPr>
        <a:xfrm>
          <a:off x="1727200" y="7086600"/>
          <a:ext cx="16141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177800</xdr:rowOff>
    </xdr:from>
    <xdr:to>
      <xdr:col>5</xdr:col>
      <xdr:colOff>12700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F909982-8ADF-9B42-8CEE-B60A958ACDD4}"/>
            </a:ext>
          </a:extLst>
        </xdr:cNvPr>
        <xdr:cNvSpPr txBox="1"/>
      </xdr:nvSpPr>
      <xdr:spPr>
        <a:xfrm>
          <a:off x="533400" y="8369300"/>
          <a:ext cx="744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8</xdr:row>
      <xdr:rowOff>177800</xdr:rowOff>
    </xdr:from>
    <xdr:to>
      <xdr:col>2</xdr:col>
      <xdr:colOff>1219200</xdr:colOff>
      <xdr:row>8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344C1C-53D5-9A4F-B4E2-D2D3FEF3AAC9}"/>
            </a:ext>
          </a:extLst>
        </xdr:cNvPr>
        <xdr:cNvSpPr txBox="1"/>
      </xdr:nvSpPr>
      <xdr:spPr>
        <a:xfrm>
          <a:off x="571500" y="45593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1193800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644CE1-C038-9D4B-9117-890D6048DBE3}"/>
            </a:ext>
          </a:extLst>
        </xdr:cNvPr>
        <xdr:cNvSpPr txBox="1"/>
      </xdr:nvSpPr>
      <xdr:spPr>
        <a:xfrm>
          <a:off x="546100" y="70866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2184400</xdr:colOff>
      <xdr:row>1</xdr:row>
      <xdr:rowOff>635000</xdr:rowOff>
    </xdr:from>
    <xdr:to>
      <xdr:col>8</xdr:col>
      <xdr:colOff>2155808</xdr:colOff>
      <xdr:row>3</xdr:row>
      <xdr:rowOff>594910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DB7C2E9-DBF8-9C47-9F4A-77AFCF5D3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0300" y="825500"/>
          <a:ext cx="2447908" cy="116641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6</xdr:row>
      <xdr:rowOff>190500</xdr:rowOff>
    </xdr:from>
    <xdr:to>
      <xdr:col>7</xdr:col>
      <xdr:colOff>1219200</xdr:colOff>
      <xdr:row>6</xdr:row>
      <xdr:rowOff>508000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3E2F547-46E2-A747-8064-534FFAA41B07}"/>
            </a:ext>
          </a:extLst>
        </xdr:cNvPr>
        <xdr:cNvSpPr txBox="1"/>
      </xdr:nvSpPr>
      <xdr:spPr>
        <a:xfrm>
          <a:off x="546100" y="3302000"/>
          <a:ext cx="13589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7</xdr:col>
      <xdr:colOff>723900</xdr:colOff>
      <xdr:row>10</xdr:row>
      <xdr:rowOff>203200</xdr:rowOff>
    </xdr:from>
    <xdr:ext cx="184731" cy="25257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B55C47F-9E5D-D640-9CC4-98C5BE725706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tabSelected="1" zoomScale="75" zoomScaleNormal="100" workbookViewId="0">
      <pane ySplit="5" topLeftCell="A6" activePane="bottomLeft" state="frozen"/>
      <selection pane="bottomLeft" activeCell="D4" sqref="D4:H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88" t="s">
        <v>40</v>
      </c>
      <c r="D2" s="189"/>
      <c r="E2" s="189"/>
      <c r="F2" s="189"/>
      <c r="G2" s="189"/>
      <c r="H2" s="189"/>
      <c r="I2" s="190"/>
    </row>
    <row r="3" spans="2:9" s="13" customFormat="1" ht="20" customHeight="1" x14ac:dyDescent="0.15">
      <c r="C3" s="14" t="s">
        <v>0</v>
      </c>
      <c r="D3" s="142">
        <v>2025</v>
      </c>
      <c r="E3" s="16" t="s">
        <v>1</v>
      </c>
      <c r="F3" s="15" t="s">
        <v>2</v>
      </c>
      <c r="G3" s="17" t="s">
        <v>3</v>
      </c>
      <c r="H3" s="18"/>
      <c r="I3" s="19"/>
    </row>
    <row r="4" spans="2:9" ht="75" customHeight="1" x14ac:dyDescent="0.65">
      <c r="C4" s="144">
        <f>CalendarYear</f>
        <v>2025</v>
      </c>
      <c r="D4" s="194" t="s">
        <v>4</v>
      </c>
      <c r="E4" s="194"/>
      <c r="F4" s="194"/>
      <c r="G4" s="194"/>
      <c r="H4" s="194"/>
      <c r="I4" s="143"/>
    </row>
    <row r="5" spans="2:9" s="2" customFormat="1" ht="35" customHeight="1" x14ac:dyDescent="0.15">
      <c r="B5" s="81"/>
      <c r="C5" s="10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 x14ac:dyDescent="0.2">
      <c r="B6" s="76"/>
      <c r="C6" s="124">
        <f t="array" ref="C6:I6">DaysAndWeeks+DATE(CalendarYear,1,1)-WEEKDAY(DATE(CalendarYear,1,1),(WeekStart="M")+1)+1</f>
        <v>45655</v>
      </c>
      <c r="D6" s="22">
        <v>45656</v>
      </c>
      <c r="E6" s="22">
        <v>45657</v>
      </c>
      <c r="F6" s="22">
        <v>45658</v>
      </c>
      <c r="G6" s="147">
        <v>45659</v>
      </c>
      <c r="H6" s="22">
        <v>45660</v>
      </c>
      <c r="I6" s="23">
        <v>45661</v>
      </c>
    </row>
    <row r="7" spans="2:9" s="6" customFormat="1" ht="75" customHeight="1" x14ac:dyDescent="0.15">
      <c r="B7" s="74"/>
      <c r="C7" s="119"/>
      <c r="D7" s="7"/>
      <c r="E7" s="52"/>
      <c r="F7" s="149"/>
      <c r="G7" s="148"/>
      <c r="H7" s="121">
        <v>0.625</v>
      </c>
      <c r="I7" s="150"/>
    </row>
    <row r="8" spans="2:9" s="32" customFormat="1" ht="25" customHeight="1" x14ac:dyDescent="0.2">
      <c r="B8" s="76"/>
      <c r="C8" s="20">
        <f t="array" ref="C8:I8">DaysAndWeeks+DATE(CalendarYear,1,1)-WEEKDAY(DATE(CalendarYear,1,1),(WeekStart="M")+1)+8</f>
        <v>45662</v>
      </c>
      <c r="D8" s="146">
        <v>45663</v>
      </c>
      <c r="E8" s="146">
        <v>45664</v>
      </c>
      <c r="F8" s="146">
        <v>45665</v>
      </c>
      <c r="G8" s="146">
        <v>45666</v>
      </c>
      <c r="H8" s="110">
        <v>45667</v>
      </c>
      <c r="I8" s="23">
        <v>45668</v>
      </c>
    </row>
    <row r="9" spans="2:9" s="6" customFormat="1" ht="75" customHeight="1" x14ac:dyDescent="0.15">
      <c r="B9" s="74"/>
      <c r="C9" s="119">
        <v>0.625</v>
      </c>
      <c r="D9" s="9"/>
      <c r="E9" s="120"/>
      <c r="F9" s="151"/>
      <c r="G9" s="122"/>
      <c r="H9" s="7"/>
      <c r="I9" s="8"/>
    </row>
    <row r="10" spans="2:9" s="32" customFormat="1" ht="25" customHeight="1" x14ac:dyDescent="0.2">
      <c r="B10" s="76"/>
      <c r="C10" s="20">
        <f t="array" ref="C10:I10">DaysAndWeeks+DATE(CalendarYear,1,1)-WEEKDAY(DATE(CalendarYear,1,1),(WeekStart="M")+1)+15</f>
        <v>45669</v>
      </c>
      <c r="D10" s="21">
        <v>45670</v>
      </c>
      <c r="E10" s="21">
        <v>45671</v>
      </c>
      <c r="F10" s="21">
        <v>45672</v>
      </c>
      <c r="G10" s="24">
        <v>45673</v>
      </c>
      <c r="H10" s="25">
        <v>45674</v>
      </c>
      <c r="I10" s="23">
        <v>45675</v>
      </c>
    </row>
    <row r="11" spans="2:9" s="6" customFormat="1" ht="75" customHeight="1" x14ac:dyDescent="0.15">
      <c r="B11" s="74"/>
      <c r="C11" s="119"/>
      <c r="D11" s="9"/>
      <c r="E11" s="120"/>
      <c r="F11" s="151"/>
      <c r="G11" s="121"/>
      <c r="H11" s="121">
        <v>0.625</v>
      </c>
      <c r="I11" s="150"/>
    </row>
    <row r="12" spans="2:9" s="32" customFormat="1" ht="25" customHeight="1" x14ac:dyDescent="0.2">
      <c r="B12" s="76"/>
      <c r="C12" s="20">
        <f t="array" ref="C12:I12">DaysAndWeeks+DATE(CalendarYear,1,1)-WEEKDAY(DATE(CalendarYear,1,1),(WeekStart="M")+1)+22</f>
        <v>45676</v>
      </c>
      <c r="D12" s="21">
        <v>45677</v>
      </c>
      <c r="E12" s="21">
        <v>45678</v>
      </c>
      <c r="F12" s="21">
        <v>45679</v>
      </c>
      <c r="G12" s="21">
        <v>45680</v>
      </c>
      <c r="H12" s="22">
        <v>45681</v>
      </c>
      <c r="I12" s="23">
        <v>45682</v>
      </c>
    </row>
    <row r="13" spans="2:9" s="6" customFormat="1" ht="75" customHeight="1" x14ac:dyDescent="0.15">
      <c r="B13" s="74"/>
      <c r="C13" s="119">
        <v>0.625</v>
      </c>
      <c r="D13" s="9"/>
      <c r="E13" s="120"/>
      <c r="F13" s="151"/>
      <c r="G13" s="122"/>
      <c r="H13" s="7"/>
      <c r="I13" s="8"/>
    </row>
    <row r="14" spans="2:9" s="32" customFormat="1" ht="25" customHeight="1" x14ac:dyDescent="0.2">
      <c r="B14" s="76"/>
      <c r="C14" s="20">
        <f t="array" ref="C14:I14">DaysAndWeeks+DATE(CalendarYear,1,1)-WEEKDAY(DATE(CalendarYear,1,1),(WeekStart="M")+1)+29</f>
        <v>45683</v>
      </c>
      <c r="D14" s="21">
        <v>45684</v>
      </c>
      <c r="E14" s="21">
        <v>45685</v>
      </c>
      <c r="F14" s="21">
        <v>45686</v>
      </c>
      <c r="G14" s="21">
        <v>45687</v>
      </c>
      <c r="H14" s="22">
        <v>45688</v>
      </c>
      <c r="I14" s="23">
        <v>45689</v>
      </c>
    </row>
    <row r="15" spans="2:9" s="6" customFormat="1" ht="75" customHeight="1" x14ac:dyDescent="0.15">
      <c r="B15" s="74"/>
      <c r="C15" s="119"/>
      <c r="D15" s="9"/>
      <c r="E15" s="120"/>
      <c r="F15" s="151"/>
      <c r="G15" s="123"/>
      <c r="H15" s="151"/>
      <c r="I15" s="150"/>
    </row>
    <row r="16" spans="2:9" s="32" customFormat="1" ht="25" customHeight="1" x14ac:dyDescent="0.2">
      <c r="B16" s="76"/>
      <c r="C16" s="124">
        <f t="array" ref="C16:I16">DaysAndWeeks+DATE(CalendarYear,1,1)-WEEKDAY(DATE(CalendarYear,1,1),(WeekStart="M")+1)+36</f>
        <v>45690</v>
      </c>
      <c r="D16" s="22">
        <v>45691</v>
      </c>
      <c r="E16" s="26">
        <v>45692</v>
      </c>
      <c r="F16" s="26">
        <v>45693</v>
      </c>
      <c r="G16" s="26">
        <v>45694</v>
      </c>
      <c r="H16" s="26">
        <v>45695</v>
      </c>
      <c r="I16" s="27">
        <v>45696</v>
      </c>
    </row>
    <row r="17" spans="2:9" s="6" customFormat="1" ht="75" customHeight="1" x14ac:dyDescent="0.2">
      <c r="B17" s="74"/>
      <c r="C17" s="125"/>
      <c r="D17" s="118"/>
      <c r="E17" s="4"/>
      <c r="F17" s="4"/>
      <c r="G17" s="4"/>
      <c r="H17" s="4"/>
      <c r="I17" s="5"/>
    </row>
    <row r="18" spans="2:9" ht="125" customHeight="1" thickBot="1" x14ac:dyDescent="0.2">
      <c r="B18" s="75"/>
      <c r="C18" s="191" t="s">
        <v>6</v>
      </c>
      <c r="D18" s="192"/>
      <c r="E18" s="192"/>
      <c r="F18" s="192"/>
      <c r="G18" s="192"/>
      <c r="H18" s="192"/>
      <c r="I18" s="19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39" priority="6">
      <formula>DAY(C6)&gt;8</formula>
    </cfRule>
  </conditionalFormatting>
  <conditionalFormatting sqref="C8:H8">
    <cfRule type="expression" dxfId="38" priority="2">
      <formula>DAY(C8)&gt;8</formula>
    </cfRule>
  </conditionalFormatting>
  <conditionalFormatting sqref="C14:I14 C16:I16 D17:I17 C18">
    <cfRule type="expression" dxfId="37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2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88" t="s">
        <v>40</v>
      </c>
      <c r="D2" s="189"/>
      <c r="E2" s="189"/>
      <c r="F2" s="189"/>
      <c r="G2" s="189"/>
      <c r="H2" s="189"/>
      <c r="I2" s="190"/>
    </row>
    <row r="3" spans="2:9" ht="20" customHeight="1" x14ac:dyDescent="0.15">
      <c r="B3" s="75"/>
      <c r="C3" s="47"/>
      <c r="D3" s="29"/>
      <c r="E3" s="29"/>
      <c r="F3" s="29"/>
      <c r="G3" s="47" t="s">
        <v>7</v>
      </c>
      <c r="H3" s="47" t="s">
        <v>8</v>
      </c>
      <c r="I3" s="88"/>
    </row>
    <row r="4" spans="2:9" ht="75" customHeight="1" x14ac:dyDescent="0.65">
      <c r="B4" s="75"/>
      <c r="C4" s="144">
        <f>CalendarYear</f>
        <v>2025</v>
      </c>
      <c r="D4" s="195" t="s">
        <v>9</v>
      </c>
      <c r="E4" s="195"/>
      <c r="F4" s="195"/>
      <c r="G4" s="195"/>
      <c r="H4" s="195"/>
      <c r="I4" s="145"/>
    </row>
    <row r="5" spans="2:9" ht="35" customHeight="1" x14ac:dyDescent="0.15">
      <c r="B5" s="75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4" customFormat="1" ht="25" customHeight="1" x14ac:dyDescent="0.2">
      <c r="B6" s="78"/>
      <c r="C6" s="49">
        <f t="array" ref="C6:I6">DaysAndWeeks+DATE(CalendarYear,2,1)-WEEKDAY(DATE(CalendarYear,2,1),(WeekStart="M")+1)+1</f>
        <v>45683</v>
      </c>
      <c r="D6" s="40">
        <v>45684</v>
      </c>
      <c r="E6" s="110">
        <v>45685</v>
      </c>
      <c r="F6" s="110">
        <v>45686</v>
      </c>
      <c r="G6" s="110">
        <v>45687</v>
      </c>
      <c r="H6" s="110">
        <v>45688</v>
      </c>
      <c r="I6" s="111">
        <v>45689</v>
      </c>
    </row>
    <row r="7" spans="2:9" s="6" customFormat="1" ht="75" customHeight="1" x14ac:dyDescent="0.15">
      <c r="B7" s="74"/>
      <c r="C7" s="152"/>
      <c r="D7" s="31"/>
      <c r="E7" s="126"/>
      <c r="F7" s="153"/>
      <c r="G7" s="127"/>
      <c r="H7" s="153" t="s">
        <v>5</v>
      </c>
      <c r="I7" s="154"/>
    </row>
    <row r="8" spans="2:9" s="34" customFormat="1" ht="25" customHeight="1" x14ac:dyDescent="0.2">
      <c r="B8" s="78"/>
      <c r="C8" s="114">
        <f t="array" ref="C8:I8">DaysAndWeeks+DATE(CalendarYear,2,1)-WEEKDAY(DATE(CalendarYear,2,1),(WeekStart="M")+1)+8</f>
        <v>45690</v>
      </c>
      <c r="D8" s="110">
        <v>45691</v>
      </c>
      <c r="E8" s="112">
        <v>45692</v>
      </c>
      <c r="F8" s="112">
        <v>45693</v>
      </c>
      <c r="G8" s="112">
        <v>45694</v>
      </c>
      <c r="H8" s="112">
        <v>45695</v>
      </c>
      <c r="I8" s="111">
        <v>45696</v>
      </c>
    </row>
    <row r="9" spans="2:9" s="54" customFormat="1" ht="75" customHeight="1" x14ac:dyDescent="0.15">
      <c r="B9" s="83"/>
      <c r="C9" s="153" t="s">
        <v>5</v>
      </c>
      <c r="D9" s="53"/>
      <c r="E9" s="129"/>
      <c r="F9" s="155"/>
      <c r="G9" s="129"/>
      <c r="H9" s="113"/>
      <c r="I9" s="84"/>
    </row>
    <row r="10" spans="2:9" s="34" customFormat="1" ht="25" customHeight="1" x14ac:dyDescent="0.2">
      <c r="B10" s="78"/>
      <c r="C10" s="114">
        <f t="array" ref="C10:I10">DaysAndWeeks+DATE(CalendarYear,2,1)-WEEKDAY(DATE(CalendarYear,2,1),(WeekStart="M")+1)+15</f>
        <v>45697</v>
      </c>
      <c r="D10" s="110">
        <v>45698</v>
      </c>
      <c r="E10" s="110">
        <v>45699</v>
      </c>
      <c r="F10" s="110">
        <v>45700</v>
      </c>
      <c r="G10" s="110">
        <v>45701</v>
      </c>
      <c r="H10" s="110">
        <v>45702</v>
      </c>
      <c r="I10" s="111">
        <v>45703</v>
      </c>
    </row>
    <row r="11" spans="2:9" s="54" customFormat="1" ht="75" customHeight="1" x14ac:dyDescent="0.15">
      <c r="B11" s="83"/>
      <c r="C11" s="128"/>
      <c r="D11" s="137"/>
      <c r="E11" s="130"/>
      <c r="F11" s="137"/>
      <c r="G11" s="130"/>
      <c r="H11" s="156" t="s">
        <v>5</v>
      </c>
      <c r="I11" s="156"/>
    </row>
    <row r="12" spans="2:9" s="32" customFormat="1" ht="25" customHeight="1" x14ac:dyDescent="0.2">
      <c r="B12" s="76"/>
      <c r="C12" s="114">
        <f t="array" ref="C12:I12">DaysAndWeeks+DATE(CalendarYear,2,1)-WEEKDAY(DATE(CalendarYear,2,1),(WeekStart="M")+1)+22</f>
        <v>45704</v>
      </c>
      <c r="D12" s="110">
        <v>45705</v>
      </c>
      <c r="E12" s="110">
        <v>45706</v>
      </c>
      <c r="F12" s="110">
        <v>45707</v>
      </c>
      <c r="G12" s="110">
        <v>45708</v>
      </c>
      <c r="H12" s="110">
        <v>45709</v>
      </c>
      <c r="I12" s="111">
        <v>45710</v>
      </c>
    </row>
    <row r="13" spans="2:9" s="54" customFormat="1" ht="75" customHeight="1" x14ac:dyDescent="0.15">
      <c r="B13" s="83"/>
      <c r="C13" s="153" t="s">
        <v>5</v>
      </c>
      <c r="D13" s="53"/>
      <c r="E13" s="130"/>
      <c r="F13" s="137"/>
      <c r="G13" s="130"/>
      <c r="H13" s="53"/>
      <c r="I13" s="84"/>
    </row>
    <row r="14" spans="2:9" s="32" customFormat="1" ht="25" customHeight="1" x14ac:dyDescent="0.2">
      <c r="B14" s="76"/>
      <c r="C14" s="114">
        <f t="array" ref="C14:I14">DaysAndWeeks+DATE(CalendarYear,2,1)-WEEKDAY(DATE(CalendarYear,2,1),(WeekStart="M")+1)+29</f>
        <v>45711</v>
      </c>
      <c r="D14" s="110">
        <v>45712</v>
      </c>
      <c r="E14" s="146">
        <v>45713</v>
      </c>
      <c r="F14" s="146">
        <v>45714</v>
      </c>
      <c r="G14" s="146">
        <v>45715</v>
      </c>
      <c r="H14" s="39">
        <v>45716</v>
      </c>
      <c r="I14" s="85">
        <v>45717</v>
      </c>
    </row>
    <row r="15" spans="2:9" s="54" customFormat="1" ht="75" customHeight="1" x14ac:dyDescent="0.15">
      <c r="B15" s="83"/>
      <c r="C15" s="128"/>
      <c r="D15" s="53"/>
      <c r="E15" s="163"/>
      <c r="F15" s="164"/>
      <c r="G15" s="164"/>
      <c r="H15" s="57"/>
      <c r="I15" s="86"/>
    </row>
    <row r="16" spans="2:9" s="32" customFormat="1" ht="25" customHeight="1" x14ac:dyDescent="0.2">
      <c r="B16" s="76"/>
      <c r="C16" s="82">
        <f t="array" ref="C16:I16">DaysAndWeeks+DATE(CalendarYear,2,1)-WEEKDAY(DATE(CalendarYear,2,1),(WeekStart="M")+1)+36</f>
        <v>45718</v>
      </c>
      <c r="D16" s="38">
        <v>45719</v>
      </c>
      <c r="E16" s="38">
        <v>45720</v>
      </c>
      <c r="F16" s="38">
        <v>45721</v>
      </c>
      <c r="G16" s="38">
        <v>45722</v>
      </c>
      <c r="H16" s="38">
        <v>45723</v>
      </c>
      <c r="I16" s="87">
        <v>45724</v>
      </c>
    </row>
    <row r="17" spans="2:9" s="6" customFormat="1" ht="75" customHeight="1" x14ac:dyDescent="0.15">
      <c r="B17" s="74"/>
      <c r="C17" s="48"/>
      <c r="D17" s="3"/>
      <c r="E17" s="3"/>
      <c r="F17" s="3"/>
      <c r="G17" s="3"/>
      <c r="H17" s="3"/>
      <c r="I17" s="94"/>
    </row>
    <row r="18" spans="2:9" ht="125" customHeight="1" thickBot="1" x14ac:dyDescent="0.2">
      <c r="B18" s="75"/>
      <c r="C18" s="191" t="s">
        <v>6</v>
      </c>
      <c r="D18" s="192"/>
      <c r="E18" s="192"/>
      <c r="F18" s="192"/>
      <c r="G18" s="192"/>
      <c r="H18" s="192"/>
      <c r="I18" s="19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6" priority="2">
      <formula>AND(DAY(C18)&gt;=1,DAY(C18)&lt;=15)</formula>
    </cfRule>
  </conditionalFormatting>
  <conditionalFormatting sqref="C6:D6">
    <cfRule type="expression" dxfId="35" priority="5">
      <formula>DAY(C6)&gt;8</formula>
    </cfRule>
  </conditionalFormatting>
  <conditionalFormatting sqref="C8:E8">
    <cfRule type="expression" dxfId="34" priority="3">
      <formula>DAY(C8)&gt;8</formula>
    </cfRule>
  </conditionalFormatting>
  <conditionalFormatting sqref="C14:I14 C15:D15 F15:I15 C16:I16">
    <cfRule type="expression" dxfId="33" priority="6">
      <formula>AND(DAY(C14)&gt;=1,DAY(C14)&lt;=15)</formula>
    </cfRule>
  </conditionalFormatting>
  <conditionalFormatting sqref="E6:I6">
    <cfRule type="expression" dxfId="32" priority="7">
      <formula>DAY(E6)&gt;8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89" t="s">
        <v>40</v>
      </c>
      <c r="D2" s="189"/>
      <c r="E2" s="189"/>
      <c r="F2" s="189"/>
      <c r="G2" s="189"/>
      <c r="H2" s="189"/>
      <c r="I2" s="190"/>
    </row>
    <row r="3" spans="2:9" ht="20" customHeight="1" x14ac:dyDescent="0.15">
      <c r="B3" s="75"/>
      <c r="C3" s="30"/>
      <c r="D3" s="28"/>
      <c r="E3" s="28"/>
      <c r="F3" s="29"/>
      <c r="G3" s="47" t="s">
        <v>10</v>
      </c>
      <c r="H3" s="47" t="s">
        <v>11</v>
      </c>
      <c r="I3" s="93"/>
    </row>
    <row r="4" spans="2:9" ht="75" customHeight="1" x14ac:dyDescent="0.65">
      <c r="B4" s="75"/>
      <c r="C4" s="144">
        <f>CalendarYear</f>
        <v>2025</v>
      </c>
      <c r="D4" s="195" t="s">
        <v>12</v>
      </c>
      <c r="E4" s="195"/>
      <c r="F4" s="195"/>
      <c r="G4" s="195"/>
      <c r="H4" s="195"/>
      <c r="I4" s="145"/>
    </row>
    <row r="5" spans="2:9" ht="35" customHeight="1" x14ac:dyDescent="0.15">
      <c r="B5" s="75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 x14ac:dyDescent="0.2">
      <c r="B6" s="76"/>
      <c r="C6" s="65">
        <f t="array" ref="C6:I6">DaysAndWeeks+DATE(CalendarYear,3,1)-WEEKDAY(DATE(CalendarYear,3,1),(WeekStart="M")+1)+1</f>
        <v>45711</v>
      </c>
      <c r="D6" s="35">
        <v>45712</v>
      </c>
      <c r="E6" s="33">
        <v>45713</v>
      </c>
      <c r="F6" s="33">
        <v>45714</v>
      </c>
      <c r="G6" s="33">
        <v>45715</v>
      </c>
      <c r="H6" s="33">
        <v>45716</v>
      </c>
      <c r="I6" s="69">
        <v>45717</v>
      </c>
    </row>
    <row r="7" spans="2:9" s="54" customFormat="1" ht="75" customHeight="1" x14ac:dyDescent="0.15">
      <c r="B7" s="83"/>
      <c r="C7" s="157" t="s">
        <v>5</v>
      </c>
      <c r="D7" s="56"/>
      <c r="E7" s="130"/>
      <c r="G7" s="130"/>
      <c r="H7" s="137" t="s">
        <v>5</v>
      </c>
      <c r="I7" s="156"/>
    </row>
    <row r="8" spans="2:9" s="32" customFormat="1" ht="25" customHeight="1" x14ac:dyDescent="0.2">
      <c r="B8" s="76"/>
      <c r="C8" s="36">
        <f t="array" ref="C8:I8">DaysAndWeeks+DATE(CalendarYear,3,1)-WEEKDAY(DATE(CalendarYear,3,1),(WeekStart="M")+1)+8</f>
        <v>45718</v>
      </c>
      <c r="D8" s="33">
        <v>45719</v>
      </c>
      <c r="E8" s="33">
        <v>45720</v>
      </c>
      <c r="F8" s="33">
        <v>45721</v>
      </c>
      <c r="G8" s="36">
        <v>45722</v>
      </c>
      <c r="H8" s="33">
        <v>45723</v>
      </c>
      <c r="I8" s="69">
        <v>45724</v>
      </c>
    </row>
    <row r="9" spans="2:9" s="54" customFormat="1" ht="75" customHeight="1" x14ac:dyDescent="0.15">
      <c r="B9" s="83"/>
      <c r="C9" s="128">
        <v>0.625</v>
      </c>
      <c r="D9" s="53"/>
      <c r="E9" s="130"/>
      <c r="F9" s="137"/>
      <c r="G9" s="131"/>
      <c r="H9" s="53"/>
      <c r="I9" s="84"/>
    </row>
    <row r="10" spans="2:9" s="32" customFormat="1" ht="25" customHeight="1" x14ac:dyDescent="0.2">
      <c r="B10" s="76"/>
      <c r="C10" s="36">
        <f t="array" ref="C10:I10">DaysAndWeeks+DATE(CalendarYear,3,1)-WEEKDAY(DATE(CalendarYear,3,1),(WeekStart="M")+1)+15</f>
        <v>45725</v>
      </c>
      <c r="D10" s="33">
        <v>45726</v>
      </c>
      <c r="E10" s="33">
        <v>45727</v>
      </c>
      <c r="F10" s="33">
        <v>45728</v>
      </c>
      <c r="G10" s="33">
        <v>45729</v>
      </c>
      <c r="H10" s="33">
        <v>45730</v>
      </c>
      <c r="I10" s="69">
        <v>45731</v>
      </c>
    </row>
    <row r="11" spans="2:9" s="54" customFormat="1" ht="75" customHeight="1" x14ac:dyDescent="0.15">
      <c r="B11" s="83"/>
      <c r="C11" s="128"/>
      <c r="D11" s="53"/>
      <c r="E11" s="130"/>
      <c r="F11" s="137"/>
      <c r="G11" s="55"/>
      <c r="H11" s="137" t="s">
        <v>5</v>
      </c>
      <c r="I11" s="156"/>
    </row>
    <row r="12" spans="2:9" s="32" customFormat="1" ht="25" customHeight="1" x14ac:dyDescent="0.2">
      <c r="B12" s="76"/>
      <c r="C12" s="36">
        <f t="array" ref="C12:I12">DaysAndWeeks+DATE(CalendarYear,3,1)-WEEKDAY(DATE(CalendarYear,3,1),(WeekStart="M")+1)+22</f>
        <v>45732</v>
      </c>
      <c r="D12" s="33">
        <v>45733</v>
      </c>
      <c r="E12" s="33">
        <v>45734</v>
      </c>
      <c r="F12" s="33">
        <v>45735</v>
      </c>
      <c r="G12" s="33">
        <v>45736</v>
      </c>
      <c r="H12" s="37">
        <v>45737</v>
      </c>
      <c r="I12" s="89">
        <v>45738</v>
      </c>
    </row>
    <row r="13" spans="2:9" s="54" customFormat="1" ht="75" customHeight="1" x14ac:dyDescent="0.15">
      <c r="B13" s="83"/>
      <c r="C13" s="128">
        <v>0.625</v>
      </c>
      <c r="D13" s="53"/>
      <c r="E13" s="130"/>
      <c r="F13" s="137"/>
      <c r="G13" s="130"/>
      <c r="H13" s="53"/>
      <c r="I13" s="84"/>
    </row>
    <row r="14" spans="2:9" s="32" customFormat="1" ht="25" customHeight="1" x14ac:dyDescent="0.2">
      <c r="B14" s="76"/>
      <c r="C14" s="43">
        <f t="array" ref="C14:I14">DaysAndWeeks+DATE(CalendarYear,3,1)-WEEKDAY(DATE(CalendarYear,3,1),(WeekStart="M")+1)+29</f>
        <v>45739</v>
      </c>
      <c r="D14" s="33">
        <v>45740</v>
      </c>
      <c r="E14" s="33">
        <v>45741</v>
      </c>
      <c r="F14" s="33">
        <v>45742</v>
      </c>
      <c r="G14" s="43">
        <v>45743</v>
      </c>
      <c r="H14" s="165">
        <v>45744</v>
      </c>
      <c r="I14" s="166">
        <v>45745</v>
      </c>
    </row>
    <row r="15" spans="2:9" s="54" customFormat="1" ht="75" customHeight="1" x14ac:dyDescent="0.15">
      <c r="B15" s="83"/>
      <c r="C15" s="128"/>
      <c r="D15" s="53"/>
      <c r="E15" s="130"/>
      <c r="F15" s="137"/>
      <c r="G15" s="128"/>
      <c r="H15" s="137" t="s">
        <v>5</v>
      </c>
      <c r="I15" s="167"/>
    </row>
    <row r="16" spans="2:9" s="32" customFormat="1" ht="25" customHeight="1" x14ac:dyDescent="0.2">
      <c r="B16" s="76"/>
      <c r="C16" s="165">
        <f t="array" ref="C16:I16">DaysAndWeeks+DATE(CalendarYear,3,1)-WEEKDAY(DATE(CalendarYear,3,1),(WeekStart="M")+1)+36</f>
        <v>45746</v>
      </c>
      <c r="D16" s="35">
        <v>45747</v>
      </c>
      <c r="E16" s="35">
        <v>45748</v>
      </c>
      <c r="F16" s="35">
        <v>45749</v>
      </c>
      <c r="G16" s="35">
        <v>45750</v>
      </c>
      <c r="H16" s="35">
        <v>45751</v>
      </c>
      <c r="I16" s="71">
        <v>45752</v>
      </c>
    </row>
    <row r="17" spans="2:9" s="6" customFormat="1" ht="75" customHeight="1" x14ac:dyDescent="0.15">
      <c r="B17" s="74"/>
      <c r="C17" s="128">
        <v>0.625</v>
      </c>
      <c r="D17" s="41"/>
      <c r="E17" s="41"/>
      <c r="F17" s="41"/>
      <c r="G17" s="41"/>
      <c r="H17" s="41"/>
      <c r="I17" s="92"/>
    </row>
    <row r="18" spans="2:9" ht="125" customHeight="1" thickBot="1" x14ac:dyDescent="0.2">
      <c r="B18" s="75"/>
      <c r="C18" s="191" t="s">
        <v>6</v>
      </c>
      <c r="D18" s="192"/>
      <c r="E18" s="192"/>
      <c r="F18" s="192"/>
      <c r="G18" s="192"/>
      <c r="H18" s="192"/>
      <c r="I18" s="19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0" priority="1">
      <formula>AND(DAY(C7)&gt;=1,DAY(C7)&lt;=15)</formula>
    </cfRule>
  </conditionalFormatting>
  <conditionalFormatting sqref="C18">
    <cfRule type="expression" dxfId="29" priority="2">
      <formula>AND(DAY(C18)&gt;=1,DAY(C18)&lt;=15)</formula>
    </cfRule>
  </conditionalFormatting>
  <conditionalFormatting sqref="C6:H6">
    <cfRule type="expression" dxfId="28" priority="4">
      <formula>DAY(C6)&gt;8</formula>
    </cfRule>
  </conditionalFormatting>
  <conditionalFormatting sqref="C14:I14 C15:G15 I15 C16:I16 D17:I17">
    <cfRule type="expression" dxfId="27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89" t="s">
        <v>40</v>
      </c>
      <c r="D2" s="189"/>
      <c r="E2" s="189"/>
      <c r="F2" s="189"/>
      <c r="G2" s="189"/>
      <c r="H2" s="189"/>
      <c r="I2" s="190"/>
    </row>
    <row r="3" spans="2:9" ht="20" customHeight="1" x14ac:dyDescent="0.15">
      <c r="B3" s="75"/>
      <c r="C3" s="17"/>
      <c r="D3" s="17"/>
      <c r="E3" s="44"/>
      <c r="F3" s="44"/>
      <c r="G3" s="17" t="s">
        <v>13</v>
      </c>
      <c r="H3" s="17" t="s">
        <v>14</v>
      </c>
      <c r="I3" s="96"/>
    </row>
    <row r="4" spans="2:9" ht="75" customHeight="1" x14ac:dyDescent="0.65">
      <c r="B4" s="75"/>
      <c r="C4" s="144">
        <f>CalendarYear</f>
        <v>2025</v>
      </c>
      <c r="D4" s="199" t="s">
        <v>15</v>
      </c>
      <c r="E4" s="199"/>
      <c r="F4" s="199"/>
      <c r="G4" s="199"/>
      <c r="H4" s="199"/>
      <c r="I4" s="145"/>
    </row>
    <row r="5" spans="2:9" ht="35" customHeight="1" x14ac:dyDescent="0.15">
      <c r="B5" s="75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 x14ac:dyDescent="0.2">
      <c r="B6" s="76"/>
      <c r="C6" s="42">
        <f t="array" ref="C6:I6">DaysAndWeeks+DATE(CalendarYear,4,1)-WEEKDAY(DATE(CalendarYear,4,1),(WeekStart="M")+1)+1</f>
        <v>45746</v>
      </c>
      <c r="D6" s="146">
        <v>45747</v>
      </c>
      <c r="E6" s="146">
        <v>45748</v>
      </c>
      <c r="F6" s="146">
        <v>45749</v>
      </c>
      <c r="G6" s="146">
        <v>45750</v>
      </c>
      <c r="H6" s="33">
        <v>45751</v>
      </c>
      <c r="I6" s="69">
        <v>45752</v>
      </c>
    </row>
    <row r="7" spans="2:9" s="54" customFormat="1" ht="75" customHeight="1" x14ac:dyDescent="0.15">
      <c r="B7" s="83"/>
      <c r="C7" s="58"/>
      <c r="D7" s="168"/>
      <c r="E7" s="168"/>
      <c r="F7" s="169"/>
      <c r="G7" s="170"/>
      <c r="H7" s="53"/>
      <c r="I7" s="156"/>
    </row>
    <row r="8" spans="2:9" s="32" customFormat="1" ht="25" customHeight="1" x14ac:dyDescent="0.2">
      <c r="B8" s="76"/>
      <c r="C8" s="36">
        <f t="array" ref="C8:I8">DaysAndWeeks+DATE(CalendarYear,4,1)-WEEKDAY(DATE(CalendarYear,4,1),(WeekStart="M")+1)+8</f>
        <v>45753</v>
      </c>
      <c r="D8" s="33">
        <v>45754</v>
      </c>
      <c r="E8" s="33">
        <v>45755</v>
      </c>
      <c r="F8" s="33">
        <v>45756</v>
      </c>
      <c r="G8" s="33">
        <v>45757</v>
      </c>
      <c r="H8" s="33">
        <v>45758</v>
      </c>
      <c r="I8" s="69">
        <v>45759</v>
      </c>
    </row>
    <row r="9" spans="2:9" s="54" customFormat="1" ht="75" customHeight="1" x14ac:dyDescent="0.15">
      <c r="B9" s="83"/>
      <c r="C9" s="133"/>
      <c r="D9" s="53"/>
      <c r="E9" s="130"/>
      <c r="F9" s="137"/>
      <c r="G9" s="133"/>
      <c r="H9" s="137" t="s">
        <v>5</v>
      </c>
      <c r="I9" s="84"/>
    </row>
    <row r="10" spans="2:9" s="32" customFormat="1" ht="25" customHeight="1" x14ac:dyDescent="0.2">
      <c r="B10" s="76"/>
      <c r="C10" s="36">
        <f t="array" ref="C10:I10">DaysAndWeeks+DATE(CalendarYear,4,1)-WEEKDAY(DATE(CalendarYear,4,1),(WeekStart="M")+1)+15</f>
        <v>45760</v>
      </c>
      <c r="D10" s="33">
        <v>45761</v>
      </c>
      <c r="E10" s="33">
        <v>45762</v>
      </c>
      <c r="F10" s="33">
        <v>45763</v>
      </c>
      <c r="G10" s="33">
        <v>45764</v>
      </c>
      <c r="H10" s="33">
        <v>45765</v>
      </c>
      <c r="I10" s="69">
        <v>45766</v>
      </c>
    </row>
    <row r="11" spans="2:9" s="54" customFormat="1" ht="75" customHeight="1" x14ac:dyDescent="0.15">
      <c r="B11" s="83"/>
      <c r="C11" s="128">
        <v>0.625</v>
      </c>
      <c r="D11" s="53"/>
      <c r="E11" s="130"/>
      <c r="F11" s="137"/>
      <c r="G11" s="55"/>
      <c r="H11" s="53"/>
      <c r="I11" s="156"/>
    </row>
    <row r="12" spans="2:9" s="32" customFormat="1" ht="25" customHeight="1" x14ac:dyDescent="0.2">
      <c r="B12" s="76"/>
      <c r="C12" s="36">
        <f t="array" ref="C12:I12">DaysAndWeeks+DATE(CalendarYear,4,1)-WEEKDAY(DATE(CalendarYear,4,1),(WeekStart="M")+1)+22</f>
        <v>45767</v>
      </c>
      <c r="D12" s="33">
        <v>45768</v>
      </c>
      <c r="E12" s="33">
        <v>45769</v>
      </c>
      <c r="F12" s="33">
        <v>45770</v>
      </c>
      <c r="G12" s="33">
        <v>45771</v>
      </c>
      <c r="H12" s="33">
        <v>45772</v>
      </c>
      <c r="I12" s="69">
        <v>45773</v>
      </c>
    </row>
    <row r="13" spans="2:9" s="54" customFormat="1" ht="75" customHeight="1" x14ac:dyDescent="0.15">
      <c r="B13" s="83"/>
      <c r="C13" s="133"/>
      <c r="D13" s="53"/>
      <c r="E13" s="130"/>
      <c r="F13" s="137"/>
      <c r="G13" s="133"/>
      <c r="H13" s="137" t="s">
        <v>5</v>
      </c>
      <c r="I13" s="84"/>
    </row>
    <row r="14" spans="2:9" s="32" customFormat="1" ht="25" customHeight="1" x14ac:dyDescent="0.2">
      <c r="B14" s="76"/>
      <c r="C14" s="36">
        <f t="array" ref="C14:I14">DaysAndWeeks+DATE(CalendarYear,4,1)-WEEKDAY(DATE(CalendarYear,4,1),(WeekStart="M")+1)+29</f>
        <v>45774</v>
      </c>
      <c r="D14" s="33">
        <v>45775</v>
      </c>
      <c r="E14" s="33">
        <v>45776</v>
      </c>
      <c r="F14" s="35">
        <v>45777</v>
      </c>
      <c r="G14" s="35">
        <v>45778</v>
      </c>
      <c r="H14" s="35">
        <v>45779</v>
      </c>
      <c r="I14" s="71">
        <v>45780</v>
      </c>
    </row>
    <row r="15" spans="2:9" s="54" customFormat="1" ht="75" customHeight="1" x14ac:dyDescent="0.15">
      <c r="B15" s="83"/>
      <c r="C15" s="128">
        <v>0.625</v>
      </c>
      <c r="D15" s="53"/>
      <c r="E15" s="133"/>
      <c r="F15" s="158"/>
      <c r="G15" s="140"/>
      <c r="H15" s="56"/>
      <c r="I15" s="171"/>
    </row>
    <row r="16" spans="2:9" s="32" customFormat="1" ht="25" customHeight="1" x14ac:dyDescent="0.2">
      <c r="B16" s="76"/>
      <c r="C16" s="50">
        <f t="array" ref="C16:I16">DaysAndWeeks+DATE(CalendarYear,4,1)-WEEKDAY(DATE(CalendarYear,4,1),(WeekStart="M")+1)+36</f>
        <v>45781</v>
      </c>
      <c r="D16" s="51">
        <v>45782</v>
      </c>
      <c r="E16" s="51">
        <v>45783</v>
      </c>
      <c r="F16" s="51">
        <v>45784</v>
      </c>
      <c r="G16" s="51">
        <v>45785</v>
      </c>
      <c r="H16" s="51">
        <v>45786</v>
      </c>
      <c r="I16" s="95">
        <v>45787</v>
      </c>
    </row>
    <row r="17" spans="2:9" s="6" customFormat="1" ht="75" customHeight="1" x14ac:dyDescent="0.15">
      <c r="B17" s="74"/>
      <c r="C17" s="91"/>
      <c r="D17" s="41"/>
      <c r="E17" s="41"/>
      <c r="F17" s="41"/>
      <c r="G17" s="41"/>
      <c r="H17" s="41"/>
      <c r="I17" s="92"/>
    </row>
    <row r="18" spans="2:9" ht="125" customHeight="1" thickBot="1" x14ac:dyDescent="0.2">
      <c r="B18" s="75"/>
      <c r="C18" s="196" t="s">
        <v>6</v>
      </c>
      <c r="D18" s="197"/>
      <c r="E18" s="197"/>
      <c r="F18" s="197"/>
      <c r="G18" s="197"/>
      <c r="H18" s="197"/>
      <c r="I18" s="19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6" priority="1">
      <formula>AND(DAY(C18)&gt;=1,DAY(C18)&lt;=15)</formula>
    </cfRule>
  </conditionalFormatting>
  <conditionalFormatting sqref="C6:H6">
    <cfRule type="expression" dxfId="25" priority="3">
      <formula>DAY(C6)&gt;8</formula>
    </cfRule>
  </conditionalFormatting>
  <conditionalFormatting sqref="C14:I14 D15 F15:I15 C16:I17">
    <cfRule type="expression" dxfId="24" priority="2">
      <formula>AND(DAY(C14)&gt;=1,DAY(C14)&lt;=15)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E11" sqref="E11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89" t="s">
        <v>40</v>
      </c>
      <c r="D2" s="189"/>
      <c r="E2" s="189"/>
      <c r="F2" s="189"/>
      <c r="G2" s="189"/>
      <c r="H2" s="189"/>
      <c r="I2" s="190"/>
    </row>
    <row r="3" spans="2:9" ht="20" customHeight="1" x14ac:dyDescent="0.3">
      <c r="B3" s="75"/>
      <c r="C3" s="59"/>
      <c r="D3" s="60"/>
      <c r="E3" s="60"/>
      <c r="F3" s="28"/>
      <c r="G3" s="17" t="s">
        <v>16</v>
      </c>
      <c r="H3" s="17" t="s">
        <v>17</v>
      </c>
      <c r="I3" s="79"/>
    </row>
    <row r="4" spans="2:9" ht="75" customHeight="1" x14ac:dyDescent="0.65">
      <c r="B4" s="75"/>
      <c r="C4" s="144">
        <f>CalendarYear</f>
        <v>2025</v>
      </c>
      <c r="D4" s="199" t="s">
        <v>18</v>
      </c>
      <c r="E4" s="199"/>
      <c r="F4" s="199"/>
      <c r="G4" s="199"/>
      <c r="H4" s="199"/>
      <c r="I4" s="145"/>
    </row>
    <row r="5" spans="2:9" ht="35" customHeight="1" x14ac:dyDescent="0.15">
      <c r="B5" s="75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4" customFormat="1" ht="25" customHeight="1" x14ac:dyDescent="0.2">
      <c r="B6" s="78"/>
      <c r="C6" s="65">
        <f t="array" ref="C6:I6">DaysAndWeeks+DATE(CalendarYear,5,1)-WEEKDAY(DATE(CalendarYear,5,1),(WeekStart="M")+1)+1</f>
        <v>45774</v>
      </c>
      <c r="D6" s="35">
        <v>45775</v>
      </c>
      <c r="E6" s="51">
        <v>45776</v>
      </c>
      <c r="F6" s="115">
        <v>45777</v>
      </c>
      <c r="G6" s="115">
        <v>45778</v>
      </c>
      <c r="H6" s="115">
        <v>45779</v>
      </c>
      <c r="I6" s="116">
        <v>45780</v>
      </c>
    </row>
    <row r="7" spans="2:9" s="54" customFormat="1" ht="75" customHeight="1" x14ac:dyDescent="0.15">
      <c r="B7" s="83"/>
      <c r="C7" s="172"/>
      <c r="D7" s="173"/>
      <c r="E7" s="132"/>
      <c r="F7" s="137"/>
      <c r="G7" s="134"/>
      <c r="H7" s="53"/>
      <c r="I7" s="84"/>
    </row>
    <row r="8" spans="2:9" s="34" customFormat="1" ht="25" customHeight="1" x14ac:dyDescent="0.2">
      <c r="B8" s="78"/>
      <c r="C8" s="114">
        <f t="array" ref="C8:I8">DaysAndWeeks+DATE(CalendarYear,5,1)-WEEKDAY(DATE(CalendarYear,5,1),(WeekStart="M")+1)+8</f>
        <v>45781</v>
      </c>
      <c r="D8" s="110">
        <v>45782</v>
      </c>
      <c r="E8" s="110">
        <v>45783</v>
      </c>
      <c r="F8" s="110">
        <v>45784</v>
      </c>
      <c r="G8" s="110">
        <v>45785</v>
      </c>
      <c r="H8" s="110">
        <v>45786</v>
      </c>
      <c r="I8" s="111">
        <v>45787</v>
      </c>
    </row>
    <row r="9" spans="2:9" s="54" customFormat="1" ht="75" customHeight="1" x14ac:dyDescent="0.15">
      <c r="B9" s="83"/>
      <c r="C9" s="133"/>
      <c r="D9" s="53"/>
      <c r="E9" s="134"/>
      <c r="F9" s="137"/>
      <c r="G9" s="134"/>
      <c r="H9" s="137" t="s">
        <v>5</v>
      </c>
      <c r="I9" s="156"/>
    </row>
    <row r="10" spans="2:9" s="34" customFormat="1" ht="25" customHeight="1" x14ac:dyDescent="0.2">
      <c r="B10" s="78"/>
      <c r="C10" s="114">
        <f t="array" ref="C10:I10">DaysAndWeeks+DATE(CalendarYear,5,1)-WEEKDAY(DATE(CalendarYear,5,1),(WeekStart="M")+1)+15</f>
        <v>45788</v>
      </c>
      <c r="D10" s="110">
        <v>45789</v>
      </c>
      <c r="E10" s="110">
        <v>45790</v>
      </c>
      <c r="F10" s="117">
        <v>45791</v>
      </c>
      <c r="G10" s="110">
        <v>45792</v>
      </c>
      <c r="H10" s="110">
        <v>45793</v>
      </c>
      <c r="I10" s="111">
        <v>45794</v>
      </c>
    </row>
    <row r="11" spans="2:9" s="54" customFormat="1" ht="75" customHeight="1" x14ac:dyDescent="0.15">
      <c r="B11" s="83"/>
      <c r="C11" s="133"/>
      <c r="D11" s="53"/>
      <c r="E11" s="134"/>
      <c r="F11" s="159"/>
      <c r="G11" s="134"/>
      <c r="H11" s="53"/>
      <c r="I11" s="84"/>
    </row>
    <row r="12" spans="2:9" s="34" customFormat="1" ht="25" customHeight="1" x14ac:dyDescent="0.2">
      <c r="B12" s="78"/>
      <c r="C12" s="114">
        <f t="array" ref="C12:I12">DaysAndWeeks+DATE(CalendarYear,5,1)-WEEKDAY(DATE(CalendarYear,5,1),(WeekStart="M")+1)+22</f>
        <v>45795</v>
      </c>
      <c r="D12" s="110">
        <v>45796</v>
      </c>
      <c r="E12" s="110">
        <v>45797</v>
      </c>
      <c r="F12" s="110">
        <v>45798</v>
      </c>
      <c r="G12" s="110">
        <v>45799</v>
      </c>
      <c r="H12" s="110">
        <v>45800</v>
      </c>
      <c r="I12" s="111">
        <v>45801</v>
      </c>
    </row>
    <row r="13" spans="2:9" s="54" customFormat="1" ht="75" customHeight="1" x14ac:dyDescent="0.15">
      <c r="B13" s="83"/>
      <c r="C13" s="133"/>
      <c r="D13" s="53"/>
      <c r="E13" s="134"/>
      <c r="F13" s="137"/>
      <c r="G13" s="134"/>
      <c r="H13" s="137" t="s">
        <v>5</v>
      </c>
      <c r="I13" s="156"/>
    </row>
    <row r="14" spans="2:9" s="34" customFormat="1" ht="25" customHeight="1" x14ac:dyDescent="0.2">
      <c r="B14" s="78"/>
      <c r="C14" s="114">
        <f t="array" ref="C14:I14">DaysAndWeeks+DATE(CalendarYear,5,1)-WEEKDAY(DATE(CalendarYear,5,1),(WeekStart="M")+1)+29</f>
        <v>45802</v>
      </c>
      <c r="D14" s="110">
        <v>45803</v>
      </c>
      <c r="E14" s="110">
        <v>45804</v>
      </c>
      <c r="F14" s="110">
        <v>45805</v>
      </c>
      <c r="G14" s="146">
        <v>45806</v>
      </c>
      <c r="H14" s="146">
        <v>45807</v>
      </c>
      <c r="I14" s="71">
        <v>45808</v>
      </c>
    </row>
    <row r="15" spans="2:9" s="54" customFormat="1" ht="75" customHeight="1" x14ac:dyDescent="0.15">
      <c r="B15" s="83"/>
      <c r="C15" s="137" t="s">
        <v>5</v>
      </c>
      <c r="D15" s="137"/>
      <c r="E15" s="134"/>
      <c r="F15" s="137"/>
      <c r="G15" s="164"/>
      <c r="H15" s="164"/>
      <c r="I15" s="90"/>
    </row>
    <row r="16" spans="2:9" s="32" customFormat="1" ht="25" customHeight="1" x14ac:dyDescent="0.2">
      <c r="B16" s="76"/>
      <c r="C16" s="42">
        <f t="array" ref="C16:I16">DaysAndWeeks+DATE(CalendarYear,5,1)-WEEKDAY(DATE(CalendarYear,5,1),(WeekStart="M")+1)+36</f>
        <v>45809</v>
      </c>
      <c r="D16" s="35">
        <v>45810</v>
      </c>
      <c r="E16" s="35">
        <v>45811</v>
      </c>
      <c r="F16" s="35">
        <v>45812</v>
      </c>
      <c r="G16" s="35">
        <v>45813</v>
      </c>
      <c r="H16" s="35">
        <v>45814</v>
      </c>
      <c r="I16" s="71">
        <v>45815</v>
      </c>
    </row>
    <row r="17" spans="2:9" ht="75" customHeight="1" x14ac:dyDescent="0.15">
      <c r="B17" s="75"/>
      <c r="C17" s="46"/>
      <c r="D17" s="45"/>
      <c r="E17" s="45"/>
      <c r="F17" s="45"/>
      <c r="G17" s="45"/>
      <c r="H17" s="45"/>
      <c r="I17" s="97"/>
    </row>
    <row r="18" spans="2:9" ht="125" customHeight="1" thickBot="1" x14ac:dyDescent="0.2">
      <c r="B18" s="75"/>
      <c r="C18" s="191" t="s">
        <v>6</v>
      </c>
      <c r="D18" s="192"/>
      <c r="E18" s="192"/>
      <c r="F18" s="192"/>
      <c r="G18" s="192"/>
      <c r="H18" s="192"/>
      <c r="I18" s="19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89" t="s">
        <v>40</v>
      </c>
      <c r="D2" s="189"/>
      <c r="E2" s="189"/>
      <c r="F2" s="189"/>
      <c r="G2" s="189"/>
      <c r="H2" s="189"/>
      <c r="I2" s="190"/>
    </row>
    <row r="3" spans="2:9" ht="20" customHeight="1" x14ac:dyDescent="0.3">
      <c r="B3" s="75"/>
      <c r="C3" s="59"/>
      <c r="D3" s="60"/>
      <c r="E3" s="60"/>
      <c r="F3" s="61"/>
      <c r="G3" s="17" t="s">
        <v>19</v>
      </c>
      <c r="H3" s="17" t="s">
        <v>20</v>
      </c>
      <c r="I3" s="79"/>
    </row>
    <row r="4" spans="2:9" ht="75" customHeight="1" x14ac:dyDescent="0.65">
      <c r="B4" s="75"/>
      <c r="C4" s="144">
        <f>CalendarYear</f>
        <v>2025</v>
      </c>
      <c r="D4" s="199" t="s">
        <v>21</v>
      </c>
      <c r="E4" s="199"/>
      <c r="F4" s="199"/>
      <c r="G4" s="199"/>
      <c r="H4" s="199"/>
      <c r="I4" s="145"/>
    </row>
    <row r="5" spans="2:9" ht="35" customHeight="1" x14ac:dyDescent="0.15">
      <c r="B5" s="75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 x14ac:dyDescent="0.2">
      <c r="B6" s="76"/>
      <c r="C6" s="42">
        <f t="array" ref="C6:I6">DaysAndWeeks+DATE(CalendarYear,6,1)-WEEKDAY(DATE(CalendarYear,6,1),(WeekStart="M")+1)+1</f>
        <v>45809</v>
      </c>
      <c r="D6" s="35">
        <v>45810</v>
      </c>
      <c r="E6" s="35">
        <v>45811</v>
      </c>
      <c r="F6" s="35">
        <v>45812</v>
      </c>
      <c r="G6" s="35">
        <v>45813</v>
      </c>
      <c r="H6" s="35">
        <v>45814</v>
      </c>
      <c r="I6" s="69">
        <v>45815</v>
      </c>
    </row>
    <row r="7" spans="2:9" s="67" customFormat="1" ht="75" customHeight="1" x14ac:dyDescent="0.15">
      <c r="B7" s="77"/>
      <c r="C7" s="68"/>
      <c r="D7" s="66"/>
      <c r="E7" s="136"/>
      <c r="F7" s="173"/>
      <c r="G7" s="136"/>
      <c r="H7" s="66"/>
      <c r="I7" s="70"/>
    </row>
    <row r="8" spans="2:9" s="34" customFormat="1" ht="25" customHeight="1" x14ac:dyDescent="0.2">
      <c r="B8" s="78"/>
      <c r="C8" s="36">
        <f t="array" ref="C8:I8">DaysAndWeeks+DATE(CalendarYear,6,1)-WEEKDAY(DATE(CalendarYear,6,1),(WeekStart="M")+1)+8</f>
        <v>45816</v>
      </c>
      <c r="D8" s="33">
        <v>45817</v>
      </c>
      <c r="E8" s="33">
        <v>45818</v>
      </c>
      <c r="F8" s="33">
        <v>45819</v>
      </c>
      <c r="G8" s="33">
        <v>45820</v>
      </c>
      <c r="H8" s="33">
        <v>45821</v>
      </c>
      <c r="I8" s="69">
        <v>45822</v>
      </c>
    </row>
    <row r="9" spans="2:9" s="67" customFormat="1" ht="75" customHeight="1" x14ac:dyDescent="0.15">
      <c r="B9" s="77"/>
      <c r="C9" s="139"/>
      <c r="D9" s="138"/>
      <c r="E9" s="135"/>
      <c r="F9" s="138"/>
      <c r="G9" s="135"/>
      <c r="H9" s="138" t="s">
        <v>5</v>
      </c>
      <c r="I9" s="160"/>
    </row>
    <row r="10" spans="2:9" s="34" customFormat="1" ht="25" customHeight="1" x14ac:dyDescent="0.2">
      <c r="B10" s="78"/>
      <c r="C10" s="36">
        <f t="array" ref="C10:I10">DaysAndWeeks+DATE(CalendarYear,6,1)-WEEKDAY(DATE(CalendarYear,6,1),(WeekStart="M")+1)+15</f>
        <v>45823</v>
      </c>
      <c r="D10" s="33">
        <v>45824</v>
      </c>
      <c r="E10" s="33">
        <v>45825</v>
      </c>
      <c r="F10" s="33">
        <v>45826</v>
      </c>
      <c r="G10" s="33">
        <v>45827</v>
      </c>
      <c r="H10" s="33">
        <v>45828</v>
      </c>
      <c r="I10" s="69">
        <v>45829</v>
      </c>
    </row>
    <row r="11" spans="2:9" s="67" customFormat="1" ht="75" customHeight="1" x14ac:dyDescent="0.15">
      <c r="B11" s="77"/>
      <c r="C11" s="139">
        <v>0.625</v>
      </c>
      <c r="D11" s="138"/>
      <c r="E11" s="135"/>
      <c r="F11" s="138"/>
      <c r="G11" s="135"/>
      <c r="H11" s="62"/>
      <c r="I11" s="70"/>
    </row>
    <row r="12" spans="2:9" s="34" customFormat="1" ht="25" customHeight="1" x14ac:dyDescent="0.2">
      <c r="B12" s="78"/>
      <c r="C12" s="36">
        <f t="array" ref="C12:I12">DaysAndWeeks+DATE(CalendarYear,6,1)-WEEKDAY(DATE(CalendarYear,6,1),(WeekStart="M")+1)+22</f>
        <v>45830</v>
      </c>
      <c r="D12" s="33">
        <v>45831</v>
      </c>
      <c r="E12" s="33">
        <v>45832</v>
      </c>
      <c r="F12" s="33">
        <v>45833</v>
      </c>
      <c r="G12" s="33">
        <v>45834</v>
      </c>
      <c r="H12" s="33">
        <v>45835</v>
      </c>
      <c r="I12" s="69">
        <v>45836</v>
      </c>
    </row>
    <row r="13" spans="2:9" s="67" customFormat="1" ht="75" customHeight="1" x14ac:dyDescent="0.15">
      <c r="B13" s="77"/>
      <c r="C13" s="139"/>
      <c r="D13" s="138"/>
      <c r="E13" s="135"/>
      <c r="F13" s="138"/>
      <c r="G13" s="135"/>
      <c r="H13" s="138" t="s">
        <v>5</v>
      </c>
      <c r="I13" s="160"/>
    </row>
    <row r="14" spans="2:9" s="34" customFormat="1" ht="25" customHeight="1" x14ac:dyDescent="0.2">
      <c r="B14" s="78"/>
      <c r="C14" s="36">
        <f t="array" ref="C14:I14">DaysAndWeeks+DATE(CalendarYear,6,1)-WEEKDAY(DATE(CalendarYear,6,1),(WeekStart="M")+1)+29</f>
        <v>45837</v>
      </c>
      <c r="D14" s="33">
        <v>45838</v>
      </c>
      <c r="E14" s="33">
        <v>45839</v>
      </c>
      <c r="F14" s="33">
        <v>45840</v>
      </c>
      <c r="G14" s="33">
        <v>45841</v>
      </c>
      <c r="H14" s="146">
        <v>45842</v>
      </c>
      <c r="I14" s="166">
        <v>45843</v>
      </c>
    </row>
    <row r="15" spans="2:9" s="67" customFormat="1" ht="75" customHeight="1" x14ac:dyDescent="0.15">
      <c r="B15" s="77"/>
      <c r="C15" s="139">
        <v>0.625</v>
      </c>
      <c r="D15" s="138"/>
      <c r="E15" s="135"/>
      <c r="F15" s="138" t="s">
        <v>5</v>
      </c>
      <c r="G15" s="135"/>
      <c r="H15" s="174"/>
      <c r="I15" s="175"/>
    </row>
    <row r="16" spans="2:9" s="32" customFormat="1" ht="25" customHeight="1" x14ac:dyDescent="0.2">
      <c r="B16" s="76"/>
      <c r="C16" s="165">
        <f t="array" ref="C16:I16">DaysAndWeeks+DATE(CalendarYear,6,1)-WEEKDAY(DATE(CalendarYear,6,1),(WeekStart="M")+1)+36</f>
        <v>45844</v>
      </c>
      <c r="D16" s="35">
        <v>45845</v>
      </c>
      <c r="E16" s="35">
        <v>45846</v>
      </c>
      <c r="F16" s="35">
        <v>45847</v>
      </c>
      <c r="G16" s="35">
        <v>45848</v>
      </c>
      <c r="H16" s="35">
        <v>45849</v>
      </c>
      <c r="I16" s="71">
        <v>45850</v>
      </c>
    </row>
    <row r="17" spans="2:9" s="32" customFormat="1" ht="75" customHeight="1" x14ac:dyDescent="0.2">
      <c r="B17" s="76"/>
      <c r="C17" s="176"/>
      <c r="D17" s="64"/>
      <c r="E17" s="64"/>
      <c r="F17" s="64"/>
      <c r="G17" s="64"/>
      <c r="H17" s="64"/>
      <c r="I17" s="73"/>
    </row>
    <row r="18" spans="2:9" ht="125" customHeight="1" thickBot="1" x14ac:dyDescent="0.2">
      <c r="B18" s="75"/>
      <c r="C18" s="196" t="s">
        <v>6</v>
      </c>
      <c r="D18" s="197"/>
      <c r="E18" s="197"/>
      <c r="F18" s="197"/>
      <c r="G18" s="197"/>
      <c r="H18" s="197"/>
      <c r="I18" s="19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4 D15:I15 C16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15" sqref="K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89" t="s">
        <v>40</v>
      </c>
      <c r="D2" s="189"/>
      <c r="E2" s="189"/>
      <c r="F2" s="189"/>
      <c r="G2" s="189"/>
      <c r="H2" s="189"/>
      <c r="I2" s="190"/>
    </row>
    <row r="3" spans="2:9" ht="20" customHeight="1" x14ac:dyDescent="0.3">
      <c r="B3" s="75"/>
      <c r="C3" s="59"/>
      <c r="D3" s="60"/>
      <c r="E3" s="60"/>
      <c r="F3" s="61"/>
      <c r="G3" s="17" t="s">
        <v>22</v>
      </c>
      <c r="H3" s="17" t="s">
        <v>23</v>
      </c>
      <c r="I3" s="79"/>
    </row>
    <row r="4" spans="2:9" ht="75" customHeight="1" x14ac:dyDescent="0.65">
      <c r="B4" s="75"/>
      <c r="C4" s="144">
        <f>CalendarYear</f>
        <v>2025</v>
      </c>
      <c r="D4" s="195" t="s">
        <v>24</v>
      </c>
      <c r="E4" s="195"/>
      <c r="F4" s="195"/>
      <c r="G4" s="195"/>
      <c r="H4" s="195"/>
      <c r="I4" s="145"/>
    </row>
    <row r="5" spans="2:9" ht="35" customHeight="1" x14ac:dyDescent="0.15">
      <c r="B5" s="75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4" customFormat="1" ht="25" customHeight="1" x14ac:dyDescent="0.2">
      <c r="B6" s="78"/>
      <c r="C6" s="42">
        <f t="array" ref="C6:I6">DaysAndWeeks+DATE(CalendarYear,7,1)-WEEKDAY(DATE(CalendarYear,7,1),(WeekStart="M")+1)+1</f>
        <v>45837</v>
      </c>
      <c r="D6" s="146">
        <v>45838</v>
      </c>
      <c r="E6" s="146">
        <v>45839</v>
      </c>
      <c r="F6" s="177">
        <v>45840</v>
      </c>
      <c r="G6" s="146">
        <v>45841</v>
      </c>
      <c r="H6" s="33">
        <v>45842</v>
      </c>
      <c r="I6" s="69">
        <v>45843</v>
      </c>
    </row>
    <row r="7" spans="2:9" s="54" customFormat="1" ht="75" customHeight="1" x14ac:dyDescent="0.15">
      <c r="B7" s="83"/>
      <c r="C7" s="58"/>
      <c r="D7" s="164"/>
      <c r="E7" s="164"/>
      <c r="F7" s="178"/>
      <c r="G7" s="179"/>
      <c r="H7" s="178" t="s">
        <v>5</v>
      </c>
      <c r="I7" s="84"/>
    </row>
    <row r="8" spans="2:9" s="34" customFormat="1" ht="25" customHeight="1" x14ac:dyDescent="0.2">
      <c r="B8" s="78"/>
      <c r="C8" s="36">
        <f t="array" ref="C8:I8">DaysAndWeeks+DATE(CalendarYear,7,1)-WEEKDAY(DATE(CalendarYear,7,1),(WeekStart="M")+1)+8</f>
        <v>45844</v>
      </c>
      <c r="D8" s="33">
        <v>45845</v>
      </c>
      <c r="E8" s="33">
        <v>45846</v>
      </c>
      <c r="F8" s="33">
        <v>45847</v>
      </c>
      <c r="G8" s="33">
        <v>45848</v>
      </c>
      <c r="H8" s="33">
        <v>45849</v>
      </c>
      <c r="I8" s="69">
        <v>45850</v>
      </c>
    </row>
    <row r="9" spans="2:9" s="54" customFormat="1" ht="75" customHeight="1" x14ac:dyDescent="0.15">
      <c r="B9" s="83"/>
      <c r="C9" s="133">
        <v>0.625</v>
      </c>
      <c r="D9" s="137"/>
      <c r="E9" s="134"/>
      <c r="F9" s="137"/>
      <c r="G9" s="134"/>
      <c r="H9" s="53"/>
      <c r="I9" s="156"/>
    </row>
    <row r="10" spans="2:9" s="34" customFormat="1" ht="25" customHeight="1" x14ac:dyDescent="0.2">
      <c r="B10" s="78"/>
      <c r="C10" s="36">
        <f t="array" ref="C10:I10">DaysAndWeeks+DATE(CalendarYear,7,1)-WEEKDAY(DATE(CalendarYear,7,1),(WeekStart="M")+1)+15</f>
        <v>45851</v>
      </c>
      <c r="D10" s="33">
        <v>45852</v>
      </c>
      <c r="E10" s="33">
        <v>45853</v>
      </c>
      <c r="F10" s="33">
        <v>45854</v>
      </c>
      <c r="G10" s="33">
        <v>45855</v>
      </c>
      <c r="H10" s="33">
        <v>45856</v>
      </c>
      <c r="I10" s="69">
        <v>45857</v>
      </c>
    </row>
    <row r="11" spans="2:9" s="54" customFormat="1" ht="75" customHeight="1" x14ac:dyDescent="0.15">
      <c r="B11" s="83"/>
      <c r="C11" s="133"/>
      <c r="D11" s="137"/>
      <c r="E11" s="134"/>
      <c r="F11" s="137"/>
      <c r="G11" s="134"/>
      <c r="H11" s="137" t="s">
        <v>5</v>
      </c>
      <c r="I11" s="84"/>
    </row>
    <row r="12" spans="2:9" s="34" customFormat="1" ht="25" customHeight="1" x14ac:dyDescent="0.2">
      <c r="B12" s="78"/>
      <c r="C12" s="36">
        <f t="array" ref="C12:I12">DaysAndWeeks+DATE(CalendarYear,7,1)-WEEKDAY(DATE(CalendarYear,7,1),(WeekStart="M")+1)+22</f>
        <v>45858</v>
      </c>
      <c r="D12" s="33">
        <v>45859</v>
      </c>
      <c r="E12" s="33">
        <v>45860</v>
      </c>
      <c r="F12" s="33">
        <v>45861</v>
      </c>
      <c r="G12" s="33">
        <v>45862</v>
      </c>
      <c r="H12" s="33">
        <v>45863</v>
      </c>
      <c r="I12" s="69">
        <v>45864</v>
      </c>
    </row>
    <row r="13" spans="2:9" s="54" customFormat="1" ht="75" customHeight="1" x14ac:dyDescent="0.15">
      <c r="B13" s="83"/>
      <c r="C13" s="133">
        <v>0.625</v>
      </c>
      <c r="D13" s="137"/>
      <c r="E13" s="134"/>
      <c r="F13" s="137"/>
      <c r="G13" s="134"/>
      <c r="H13" s="53"/>
      <c r="I13" s="156"/>
    </row>
    <row r="14" spans="2:9" s="32" customFormat="1" ht="25" customHeight="1" x14ac:dyDescent="0.2">
      <c r="B14" s="76"/>
      <c r="C14" s="36">
        <f t="array" ref="C14:I14">DaysAndWeeks+DATE(CalendarYear,7,1)-WEEKDAY(DATE(CalendarYear,7,1),(WeekStart="M")+1)+29</f>
        <v>45865</v>
      </c>
      <c r="D14" s="33">
        <v>45866</v>
      </c>
      <c r="E14" s="33">
        <v>45867</v>
      </c>
      <c r="F14" s="33">
        <v>45868</v>
      </c>
      <c r="G14" s="35">
        <v>45869</v>
      </c>
      <c r="H14" s="35">
        <v>45870</v>
      </c>
      <c r="I14" s="71">
        <v>45871</v>
      </c>
    </row>
    <row r="15" spans="2:9" s="54" customFormat="1" ht="75" customHeight="1" x14ac:dyDescent="0.15">
      <c r="B15" s="83"/>
      <c r="C15" s="133"/>
      <c r="D15" s="137"/>
      <c r="E15" s="134"/>
      <c r="F15" s="137"/>
      <c r="G15" s="132"/>
      <c r="H15" s="56"/>
      <c r="I15" s="180"/>
    </row>
    <row r="16" spans="2:9" s="34" customFormat="1" ht="25" customHeight="1" x14ac:dyDescent="0.2">
      <c r="B16" s="78"/>
      <c r="C16" s="42">
        <f t="array" ref="C16:I16">DaysAndWeeks+DATE(CalendarYear,7,1)-WEEKDAY(DATE(CalendarYear,7,1),(WeekStart="M")+1)+36</f>
        <v>45872</v>
      </c>
      <c r="D16" s="35">
        <v>45873</v>
      </c>
      <c r="E16" s="35">
        <v>45874</v>
      </c>
      <c r="F16" s="35">
        <v>45875</v>
      </c>
      <c r="G16" s="35">
        <v>45876</v>
      </c>
      <c r="H16" s="35">
        <v>45877</v>
      </c>
      <c r="I16" s="71">
        <v>45878</v>
      </c>
    </row>
    <row r="17" spans="2:9" s="54" customFormat="1" ht="75" customHeight="1" x14ac:dyDescent="0.15">
      <c r="B17" s="83"/>
      <c r="C17" s="181"/>
      <c r="D17" s="56"/>
      <c r="E17" s="56"/>
      <c r="F17" s="56"/>
      <c r="G17" s="56"/>
      <c r="H17" s="56"/>
      <c r="I17" s="90"/>
    </row>
    <row r="18" spans="2:9" ht="125" customHeight="1" thickBot="1" x14ac:dyDescent="0.2">
      <c r="B18" s="75"/>
      <c r="C18" s="191" t="s">
        <v>6</v>
      </c>
      <c r="D18" s="192"/>
      <c r="E18" s="192"/>
      <c r="F18" s="192"/>
      <c r="G18" s="192"/>
      <c r="H18" s="192"/>
      <c r="I18" s="19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14" sqref="K14"/>
    </sheetView>
  </sheetViews>
  <sheetFormatPr baseColWidth="10" defaultColWidth="8.625" defaultRowHeight="17" x14ac:dyDescent="0.15"/>
  <cols>
    <col min="1" max="2" width="2.625" style="32" customWidth="1"/>
    <col min="3" max="9" width="24.375" style="32" customWidth="1"/>
    <col min="10" max="16384" width="8.625" style="32"/>
  </cols>
  <sheetData>
    <row r="1" spans="2:9" ht="15" customHeight="1" thickBot="1" x14ac:dyDescent="0.2"/>
    <row r="2" spans="2:9" ht="75" customHeight="1" thickTop="1" x14ac:dyDescent="0.15">
      <c r="B2" s="76"/>
      <c r="C2" s="189" t="s">
        <v>40</v>
      </c>
      <c r="D2" s="189"/>
      <c r="E2" s="189"/>
      <c r="F2" s="189"/>
      <c r="G2" s="189"/>
      <c r="H2" s="189"/>
      <c r="I2" s="190"/>
    </row>
    <row r="3" spans="2:9" ht="20" customHeight="1" x14ac:dyDescent="0.2">
      <c r="B3" s="76"/>
      <c r="C3" s="98"/>
      <c r="D3" s="99"/>
      <c r="E3" s="99"/>
      <c r="F3" s="100"/>
      <c r="G3" s="47" t="s">
        <v>25</v>
      </c>
      <c r="H3" s="47" t="s">
        <v>26</v>
      </c>
      <c r="I3" s="106"/>
    </row>
    <row r="4" spans="2:9" ht="75" customHeight="1" x14ac:dyDescent="0.65">
      <c r="B4" s="76"/>
      <c r="C4" s="144">
        <f>CalendarYear</f>
        <v>2025</v>
      </c>
      <c r="D4" s="195" t="s">
        <v>27</v>
      </c>
      <c r="E4" s="195"/>
      <c r="F4" s="195"/>
      <c r="G4" s="195"/>
      <c r="H4" s="195"/>
      <c r="I4" s="145"/>
    </row>
    <row r="5" spans="2:9" ht="35" customHeight="1" x14ac:dyDescent="0.15">
      <c r="B5" s="76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101" customFormat="1" ht="25" customHeight="1" x14ac:dyDescent="0.2">
      <c r="B6" s="104"/>
      <c r="C6" s="103">
        <f t="array" ref="C6:I6">DaysAndWeeks+DATE(CalendarYear,8,1)-WEEKDAY(DATE(CalendarYear,8,1),(WeekStart="M")+1)+1</f>
        <v>45865</v>
      </c>
      <c r="D6" s="103">
        <v>45866</v>
      </c>
      <c r="E6" s="26">
        <v>45867</v>
      </c>
      <c r="F6" s="26">
        <v>45868</v>
      </c>
      <c r="G6" s="63">
        <v>45869</v>
      </c>
      <c r="H6" s="63">
        <v>45870</v>
      </c>
      <c r="I6" s="105">
        <v>45871</v>
      </c>
    </row>
    <row r="7" spans="2:9" s="67" customFormat="1" ht="75" customHeight="1" x14ac:dyDescent="0.15">
      <c r="B7" s="77"/>
      <c r="C7" s="141"/>
      <c r="D7" s="141"/>
      <c r="E7" s="136"/>
      <c r="F7" s="162"/>
      <c r="G7" s="135"/>
      <c r="H7" s="138" t="s">
        <v>5</v>
      </c>
      <c r="I7" s="160"/>
    </row>
    <row r="8" spans="2:9" ht="25" customHeight="1" x14ac:dyDescent="0.2">
      <c r="B8" s="76"/>
      <c r="C8" s="36">
        <f t="array" ref="C8:I8">DaysAndWeeks+DATE(CalendarYear,8,1)-WEEKDAY(DATE(CalendarYear,8,1),(WeekStart="M")+1)+8</f>
        <v>45872</v>
      </c>
      <c r="D8" s="110">
        <v>45873</v>
      </c>
      <c r="E8" s="33">
        <v>45874</v>
      </c>
      <c r="F8" s="33">
        <v>45875</v>
      </c>
      <c r="G8" s="33">
        <v>45876</v>
      </c>
      <c r="H8" s="33">
        <v>45877</v>
      </c>
      <c r="I8" s="69">
        <v>45878</v>
      </c>
    </row>
    <row r="9" spans="2:9" s="67" customFormat="1" ht="75" customHeight="1" x14ac:dyDescent="0.15">
      <c r="B9" s="77"/>
      <c r="C9" s="139">
        <v>0.625</v>
      </c>
      <c r="D9" s="138"/>
      <c r="E9" s="135"/>
      <c r="F9" s="138"/>
      <c r="G9" s="135"/>
      <c r="H9" s="62"/>
      <c r="I9" s="70"/>
    </row>
    <row r="10" spans="2:9" ht="25" customHeight="1" x14ac:dyDescent="0.2">
      <c r="B10" s="76"/>
      <c r="C10" s="36">
        <f t="array" ref="C10:I10">DaysAndWeeks+DATE(CalendarYear,8,1)-WEEKDAY(DATE(CalendarYear,8,1),(WeekStart="M")+1)+15</f>
        <v>45879</v>
      </c>
      <c r="D10" s="110">
        <v>45880</v>
      </c>
      <c r="E10" s="33">
        <v>45881</v>
      </c>
      <c r="F10" s="33">
        <v>45882</v>
      </c>
      <c r="G10" s="33">
        <v>45883</v>
      </c>
      <c r="H10" s="33">
        <v>45884</v>
      </c>
      <c r="I10" s="69">
        <v>45885</v>
      </c>
    </row>
    <row r="11" spans="2:9" s="67" customFormat="1" ht="75" customHeight="1" x14ac:dyDescent="0.15">
      <c r="B11" s="77"/>
      <c r="C11" s="139"/>
      <c r="D11" s="138"/>
      <c r="E11" s="135"/>
      <c r="F11" s="138"/>
      <c r="G11" s="135"/>
      <c r="H11" s="138" t="s">
        <v>5</v>
      </c>
      <c r="I11" s="160"/>
    </row>
    <row r="12" spans="2:9" ht="25" customHeight="1" x14ac:dyDescent="0.2">
      <c r="B12" s="76"/>
      <c r="C12" s="36">
        <f t="array" ref="C12:I12">DaysAndWeeks+DATE(CalendarYear,8,1)-WEEKDAY(DATE(CalendarYear,8,1),(WeekStart="M")+1)+22</f>
        <v>45886</v>
      </c>
      <c r="D12" s="110">
        <v>45887</v>
      </c>
      <c r="E12" s="33">
        <v>45888</v>
      </c>
      <c r="F12" s="33">
        <v>45889</v>
      </c>
      <c r="G12" s="33">
        <v>45890</v>
      </c>
      <c r="H12" s="33">
        <v>45891</v>
      </c>
      <c r="I12" s="69">
        <v>45892</v>
      </c>
    </row>
    <row r="13" spans="2:9" s="67" customFormat="1" ht="75" customHeight="1" x14ac:dyDescent="0.15">
      <c r="B13" s="77"/>
      <c r="C13" s="139">
        <v>0.625</v>
      </c>
      <c r="D13" s="138"/>
      <c r="E13" s="135"/>
      <c r="F13" s="138"/>
      <c r="G13" s="135"/>
      <c r="H13" s="62"/>
      <c r="I13" s="70"/>
    </row>
    <row r="14" spans="2:9" ht="25" customHeight="1" x14ac:dyDescent="0.2">
      <c r="B14" s="76"/>
      <c r="C14" s="36">
        <f t="array" ref="C14:I14">DaysAndWeeks+DATE(CalendarYear,8,1)-WEEKDAY(DATE(CalendarYear,8,1),(WeekStart="M")+1)+29</f>
        <v>45893</v>
      </c>
      <c r="D14" s="33">
        <v>45894</v>
      </c>
      <c r="E14" s="33">
        <v>45895</v>
      </c>
      <c r="F14" s="33">
        <v>45896</v>
      </c>
      <c r="G14" s="110">
        <v>45897</v>
      </c>
      <c r="H14" s="146">
        <v>45898</v>
      </c>
      <c r="I14" s="166">
        <v>45899</v>
      </c>
    </row>
    <row r="15" spans="2:9" s="67" customFormat="1" ht="75" customHeight="1" x14ac:dyDescent="0.15">
      <c r="B15" s="77"/>
      <c r="C15" s="139"/>
      <c r="D15" s="138"/>
      <c r="E15" s="135"/>
      <c r="F15" s="138" t="s">
        <v>5</v>
      </c>
      <c r="G15" s="62"/>
      <c r="H15" s="138" t="s">
        <v>5</v>
      </c>
      <c r="I15" s="175"/>
    </row>
    <row r="16" spans="2:9" ht="25" customHeight="1" x14ac:dyDescent="0.2">
      <c r="B16" s="76"/>
      <c r="C16" s="42">
        <f t="array" ref="C16:I16">DaysAndWeeks+DATE(CalendarYear,8,1)-WEEKDAY(DATE(CalendarYear,8,1),(WeekStart="M")+1)+36</f>
        <v>45900</v>
      </c>
      <c r="D16" s="35">
        <v>45901</v>
      </c>
      <c r="E16" s="35">
        <v>45902</v>
      </c>
      <c r="F16" s="35">
        <v>45903</v>
      </c>
      <c r="G16" s="35">
        <v>45904</v>
      </c>
      <c r="H16" s="35">
        <v>45905</v>
      </c>
      <c r="I16" s="71">
        <v>45906</v>
      </c>
    </row>
    <row r="17" spans="2:9" s="67" customFormat="1" ht="75" customHeight="1" x14ac:dyDescent="0.15">
      <c r="B17" s="77"/>
      <c r="C17" s="68"/>
      <c r="D17" s="66"/>
      <c r="E17" s="66"/>
      <c r="F17" s="66"/>
      <c r="G17" s="66"/>
      <c r="H17" s="66"/>
      <c r="I17" s="72"/>
    </row>
    <row r="18" spans="2:9" s="1" customFormat="1" ht="125" customHeight="1" thickBot="1" x14ac:dyDescent="0.2">
      <c r="B18" s="75"/>
      <c r="C18" s="191" t="s">
        <v>6</v>
      </c>
      <c r="D18" s="192"/>
      <c r="E18" s="192"/>
      <c r="F18" s="192"/>
      <c r="G18" s="192"/>
      <c r="H18" s="192"/>
      <c r="I18" s="193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4" priority="1">
      <formula>AND(DAY(C18)&gt;=1,DAY(C18)&lt;=15)</formula>
    </cfRule>
  </conditionalFormatting>
  <conditionalFormatting sqref="C6:H6">
    <cfRule type="expression" dxfId="13" priority="3">
      <formula>DAY(C6)&gt;8</formula>
    </cfRule>
  </conditionalFormatting>
  <conditionalFormatting sqref="C14:I14 C15:G15 I15 C16: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L17" sqref="L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89" t="s">
        <v>40</v>
      </c>
      <c r="D2" s="189"/>
      <c r="E2" s="189"/>
      <c r="F2" s="189"/>
      <c r="G2" s="189"/>
      <c r="H2" s="189"/>
      <c r="I2" s="190"/>
    </row>
    <row r="3" spans="2:9" ht="20" customHeight="1" x14ac:dyDescent="0.3">
      <c r="B3" s="75"/>
      <c r="C3" s="59"/>
      <c r="D3" s="60"/>
      <c r="E3" s="60"/>
      <c r="F3" s="61"/>
      <c r="G3" s="17" t="s">
        <v>28</v>
      </c>
      <c r="H3" s="17" t="s">
        <v>29</v>
      </c>
      <c r="I3" s="79"/>
    </row>
    <row r="4" spans="2:9" ht="75" customHeight="1" x14ac:dyDescent="0.65">
      <c r="B4" s="75"/>
      <c r="C4" s="144">
        <f>CalendarYear</f>
        <v>2025</v>
      </c>
      <c r="D4" s="200" t="s">
        <v>30</v>
      </c>
      <c r="E4" s="200"/>
      <c r="F4" s="200"/>
      <c r="G4" s="200"/>
      <c r="H4" s="200"/>
      <c r="I4" s="143"/>
    </row>
    <row r="5" spans="2:9" ht="35" customHeight="1" x14ac:dyDescent="0.15">
      <c r="B5" s="75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4" customFormat="1" ht="25" customHeight="1" x14ac:dyDescent="0.2">
      <c r="B6" s="78"/>
      <c r="C6" s="165">
        <f t="array" ref="C6:I6">DaysAndWeeks+DATE(CalendarYear,9,1)-WEEKDAY(DATE(CalendarYear,9,1),(WeekStart="M")+1)+1</f>
        <v>45900</v>
      </c>
      <c r="D6" s="146">
        <v>45901</v>
      </c>
      <c r="E6" s="146">
        <v>45902</v>
      </c>
      <c r="F6" s="146">
        <v>45903</v>
      </c>
      <c r="G6" s="33">
        <v>45904</v>
      </c>
      <c r="H6" s="33">
        <v>45905</v>
      </c>
      <c r="I6" s="69">
        <v>45906</v>
      </c>
    </row>
    <row r="7" spans="2:9" s="54" customFormat="1" ht="75" customHeight="1" x14ac:dyDescent="0.15">
      <c r="B7" s="83"/>
      <c r="C7" s="169" t="s">
        <v>5</v>
      </c>
      <c r="D7" s="164"/>
      <c r="E7" s="164"/>
      <c r="F7" s="169"/>
      <c r="G7" s="130"/>
      <c r="H7" s="53"/>
      <c r="I7" s="156"/>
    </row>
    <row r="8" spans="2:9" s="34" customFormat="1" ht="25" customHeight="1" x14ac:dyDescent="0.2">
      <c r="B8" s="78"/>
      <c r="C8" s="36">
        <f t="array" ref="C8:I8">DaysAndWeeks+DATE(CalendarYear,9,1)-WEEKDAY(DATE(CalendarYear,9,1),(WeekStart="M")+1)+8</f>
        <v>45907</v>
      </c>
      <c r="D8" s="33">
        <v>45908</v>
      </c>
      <c r="E8" s="33">
        <v>45909</v>
      </c>
      <c r="F8" s="33">
        <v>45910</v>
      </c>
      <c r="G8" s="33">
        <v>45911</v>
      </c>
      <c r="H8" s="33">
        <v>45912</v>
      </c>
      <c r="I8" s="69">
        <v>45913</v>
      </c>
    </row>
    <row r="9" spans="2:9" s="54" customFormat="1" ht="75" customHeight="1" x14ac:dyDescent="0.15">
      <c r="B9" s="83"/>
      <c r="C9" s="133"/>
      <c r="D9" s="137"/>
      <c r="E9" s="134"/>
      <c r="F9" s="134"/>
      <c r="G9" s="134"/>
      <c r="H9" s="169" t="s">
        <v>5</v>
      </c>
      <c r="I9" s="84"/>
    </row>
    <row r="10" spans="2:9" s="34" customFormat="1" ht="25" customHeight="1" x14ac:dyDescent="0.2">
      <c r="B10" s="78"/>
      <c r="C10" s="36">
        <f t="array" ref="C10:I10">DaysAndWeeks+DATE(CalendarYear,9,1)-WEEKDAY(DATE(CalendarYear,9,1),(WeekStart="M")+1)+15</f>
        <v>45914</v>
      </c>
      <c r="D10" s="33">
        <v>45915</v>
      </c>
      <c r="E10" s="33">
        <v>45916</v>
      </c>
      <c r="F10" s="33">
        <v>45917</v>
      </c>
      <c r="G10" s="33">
        <v>45918</v>
      </c>
      <c r="H10" s="33">
        <v>45919</v>
      </c>
      <c r="I10" s="69">
        <v>45920</v>
      </c>
    </row>
    <row r="11" spans="2:9" s="54" customFormat="1" ht="75" customHeight="1" x14ac:dyDescent="0.15">
      <c r="B11" s="83"/>
      <c r="C11" s="133">
        <v>0.625</v>
      </c>
      <c r="D11" s="137"/>
      <c r="E11" s="134"/>
      <c r="F11" s="134"/>
      <c r="G11" s="134"/>
      <c r="H11" s="53"/>
      <c r="I11" s="156"/>
    </row>
    <row r="12" spans="2:9" s="34" customFormat="1" ht="25" customHeight="1" x14ac:dyDescent="0.2">
      <c r="B12" s="78"/>
      <c r="C12" s="36">
        <f t="array" ref="C12:I12">DaysAndWeeks+DATE(CalendarYear,9,1)-WEEKDAY(DATE(CalendarYear,9,1),(WeekStart="M")+1)+22</f>
        <v>45921</v>
      </c>
      <c r="D12" s="33">
        <v>45922</v>
      </c>
      <c r="E12" s="33">
        <v>45923</v>
      </c>
      <c r="F12" s="33">
        <v>45924</v>
      </c>
      <c r="G12" s="33">
        <v>45925</v>
      </c>
      <c r="H12" s="33">
        <v>45926</v>
      </c>
      <c r="I12" s="69">
        <v>45927</v>
      </c>
    </row>
    <row r="13" spans="2:9" s="54" customFormat="1" ht="75" customHeight="1" x14ac:dyDescent="0.15">
      <c r="B13" s="83"/>
      <c r="C13" s="133"/>
      <c r="D13" s="137"/>
      <c r="E13" s="134"/>
      <c r="F13" s="134"/>
      <c r="G13" s="134"/>
      <c r="H13" s="134" t="s">
        <v>5</v>
      </c>
      <c r="I13" s="84"/>
    </row>
    <row r="14" spans="2:9" s="34" customFormat="1" ht="25" customHeight="1" x14ac:dyDescent="0.2">
      <c r="B14" s="78"/>
      <c r="C14" s="36">
        <f t="array" ref="C14:I14">DaysAndWeeks+DATE(CalendarYear,9,1)-WEEKDAY(DATE(CalendarYear,9,1),(WeekStart="M")+1)+29</f>
        <v>45928</v>
      </c>
      <c r="D14" s="33">
        <v>45929</v>
      </c>
      <c r="E14" s="35">
        <v>45930</v>
      </c>
      <c r="F14" s="35">
        <v>45931</v>
      </c>
      <c r="G14" s="35">
        <v>45932</v>
      </c>
      <c r="H14" s="35">
        <v>45933</v>
      </c>
      <c r="I14" s="71">
        <v>45934</v>
      </c>
    </row>
    <row r="15" spans="2:9" s="54" customFormat="1" ht="75" customHeight="1" x14ac:dyDescent="0.15">
      <c r="B15" s="83"/>
      <c r="C15" s="133">
        <v>0.625</v>
      </c>
      <c r="D15" s="137"/>
      <c r="E15" s="132"/>
      <c r="F15" s="132"/>
      <c r="G15" s="132"/>
      <c r="H15" s="56"/>
      <c r="I15" s="161"/>
    </row>
    <row r="16" spans="2:9" s="34" customFormat="1" ht="25" customHeight="1" x14ac:dyDescent="0.2">
      <c r="B16" s="78"/>
      <c r="C16" s="42">
        <f t="array" ref="C16:I16">DaysAndWeeks+DATE(CalendarYear,9,1)-WEEKDAY(DATE(CalendarYear,9,1),(WeekStart="M")+1)+36</f>
        <v>45935</v>
      </c>
      <c r="D16" s="35">
        <v>45936</v>
      </c>
      <c r="E16" s="35">
        <v>45937</v>
      </c>
      <c r="F16" s="35">
        <v>45938</v>
      </c>
      <c r="G16" s="35">
        <v>45939</v>
      </c>
      <c r="H16" s="35">
        <v>45940</v>
      </c>
      <c r="I16" s="71">
        <v>45941</v>
      </c>
    </row>
    <row r="17" spans="2:9" s="54" customFormat="1" ht="75" customHeight="1" x14ac:dyDescent="0.15">
      <c r="B17" s="83"/>
      <c r="C17" s="58"/>
      <c r="D17" s="56"/>
      <c r="E17" s="56"/>
      <c r="F17" s="56"/>
      <c r="G17" s="56"/>
      <c r="H17" s="56"/>
      <c r="I17" s="90"/>
    </row>
    <row r="18" spans="2:9" ht="125" customHeight="1" thickBot="1" x14ac:dyDescent="0.2">
      <c r="B18" s="75"/>
      <c r="C18" s="191" t="s">
        <v>6</v>
      </c>
      <c r="D18" s="192"/>
      <c r="E18" s="192"/>
      <c r="F18" s="192"/>
      <c r="G18" s="192"/>
      <c r="H18" s="192"/>
      <c r="I18" s="19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topLeftCell="B1" zoomScaleNormal="100" workbookViewId="0">
      <pane ySplit="5" topLeftCell="A6" activePane="bottomLeft" state="frozen"/>
      <selection pane="bottomLeft" activeCell="F15" sqref="F15"/>
    </sheetView>
  </sheetViews>
  <sheetFormatPr baseColWidth="10" defaultColWidth="8.625" defaultRowHeight="17" x14ac:dyDescent="0.15"/>
  <cols>
    <col min="1" max="2" width="2.625" style="32" customWidth="1"/>
    <col min="3" max="9" width="24.375" style="32" customWidth="1"/>
    <col min="10" max="16384" width="8.625" style="32"/>
  </cols>
  <sheetData>
    <row r="1" spans="2:9" ht="15" customHeight="1" thickBot="1" x14ac:dyDescent="0.2">
      <c r="C1" s="109"/>
      <c r="D1" s="109"/>
      <c r="E1" s="109"/>
      <c r="F1" s="109"/>
      <c r="G1" s="109"/>
      <c r="H1" s="109"/>
      <c r="I1" s="109"/>
    </row>
    <row r="2" spans="2:9" ht="75" customHeight="1" thickTop="1" x14ac:dyDescent="0.15">
      <c r="B2" s="76"/>
      <c r="C2" s="189" t="s">
        <v>40</v>
      </c>
      <c r="D2" s="189"/>
      <c r="E2" s="189"/>
      <c r="F2" s="189"/>
      <c r="G2" s="189"/>
      <c r="H2" s="189"/>
      <c r="I2" s="190"/>
    </row>
    <row r="3" spans="2:9" ht="20" customHeight="1" x14ac:dyDescent="0.2">
      <c r="B3" s="76"/>
      <c r="C3" s="98"/>
      <c r="D3" s="99"/>
      <c r="E3" s="99"/>
      <c r="F3" s="100"/>
      <c r="G3" s="17" t="s">
        <v>31</v>
      </c>
      <c r="H3" s="17" t="s">
        <v>32</v>
      </c>
      <c r="I3" s="106"/>
    </row>
    <row r="4" spans="2:9" ht="75" customHeight="1" x14ac:dyDescent="0.65">
      <c r="B4" s="76"/>
      <c r="C4" s="144">
        <f>CalendarYear</f>
        <v>2025</v>
      </c>
      <c r="D4" s="200" t="s">
        <v>33</v>
      </c>
      <c r="E4" s="200"/>
      <c r="F4" s="200"/>
      <c r="G4" s="200"/>
      <c r="H4" s="200"/>
      <c r="I4" s="143"/>
    </row>
    <row r="5" spans="2:9" ht="35" customHeight="1" x14ac:dyDescent="0.15">
      <c r="B5" s="76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ht="25" customHeight="1" x14ac:dyDescent="0.2">
      <c r="B6" s="76"/>
      <c r="C6" s="42">
        <f t="array" ref="C6:I6">DaysAndWeeks+DATE(CalendarYear,10,1)-WEEKDAY(DATE(CalendarYear,10,1),(WeekStart="M")+1)+1</f>
        <v>45928</v>
      </c>
      <c r="D6" s="35">
        <v>45929</v>
      </c>
      <c r="E6" s="110">
        <v>45930</v>
      </c>
      <c r="F6" s="110">
        <v>45931</v>
      </c>
      <c r="G6" s="110">
        <v>45932</v>
      </c>
      <c r="H6" s="110">
        <v>45933</v>
      </c>
      <c r="I6" s="69">
        <v>45934</v>
      </c>
    </row>
    <row r="7" spans="2:9" s="67" customFormat="1" ht="75" customHeight="1" x14ac:dyDescent="0.15">
      <c r="B7" s="77"/>
      <c r="C7" s="182"/>
      <c r="D7" s="66"/>
      <c r="E7" s="135"/>
      <c r="F7" s="138"/>
      <c r="G7" s="126"/>
      <c r="H7" s="62"/>
      <c r="I7" s="70"/>
    </row>
    <row r="8" spans="2:9" ht="25" customHeight="1" x14ac:dyDescent="0.2">
      <c r="B8" s="76"/>
      <c r="C8" s="36">
        <f t="array" ref="C8:I8">DaysAndWeeks+DATE(CalendarYear,10,1)-WEEKDAY(DATE(CalendarYear,10,1),(WeekStart="M")+1)+8</f>
        <v>45935</v>
      </c>
      <c r="D8" s="33">
        <v>45936</v>
      </c>
      <c r="E8" s="33">
        <v>45937</v>
      </c>
      <c r="F8" s="33">
        <v>45938</v>
      </c>
      <c r="G8" s="33">
        <v>45939</v>
      </c>
      <c r="H8" s="33">
        <v>45940</v>
      </c>
      <c r="I8" s="69">
        <v>45941</v>
      </c>
    </row>
    <row r="9" spans="2:9" s="67" customFormat="1" ht="75" customHeight="1" x14ac:dyDescent="0.15">
      <c r="B9" s="77"/>
      <c r="C9" s="139"/>
      <c r="D9" s="138"/>
      <c r="E9" s="135"/>
      <c r="F9" s="138"/>
      <c r="G9" s="135"/>
      <c r="H9" s="138" t="s">
        <v>5</v>
      </c>
      <c r="I9" s="160"/>
    </row>
    <row r="10" spans="2:9" ht="25" customHeight="1" x14ac:dyDescent="0.2">
      <c r="B10" s="76"/>
      <c r="C10" s="36">
        <f t="array" ref="C10:I10">DaysAndWeeks+DATE(CalendarYear,10,1)-WEEKDAY(DATE(CalendarYear,10,1),(WeekStart="M")+1)+15</f>
        <v>45942</v>
      </c>
      <c r="D10" s="33">
        <v>45943</v>
      </c>
      <c r="E10" s="33">
        <v>45944</v>
      </c>
      <c r="F10" s="33">
        <v>45945</v>
      </c>
      <c r="G10" s="33">
        <v>45946</v>
      </c>
      <c r="H10" s="33">
        <v>45947</v>
      </c>
      <c r="I10" s="69">
        <v>45948</v>
      </c>
    </row>
    <row r="11" spans="2:9" s="67" customFormat="1" ht="75" customHeight="1" x14ac:dyDescent="0.15">
      <c r="B11" s="77"/>
      <c r="C11" s="138" t="s">
        <v>5</v>
      </c>
      <c r="D11" s="138"/>
      <c r="E11" s="135"/>
      <c r="F11" s="138"/>
      <c r="G11" s="135"/>
      <c r="H11" s="62"/>
      <c r="I11" s="70"/>
    </row>
    <row r="12" spans="2:9" ht="25" customHeight="1" x14ac:dyDescent="0.2">
      <c r="B12" s="76"/>
      <c r="C12" s="36">
        <f t="array" ref="C12:I12">DaysAndWeeks+DATE(CalendarYear,10,1)-WEEKDAY(DATE(CalendarYear,10,1),(WeekStart="M")+1)+22</f>
        <v>45949</v>
      </c>
      <c r="D12" s="33">
        <v>45950</v>
      </c>
      <c r="E12" s="33">
        <v>45951</v>
      </c>
      <c r="F12" s="33">
        <v>45952</v>
      </c>
      <c r="G12" s="33">
        <v>45953</v>
      </c>
      <c r="H12" s="33">
        <v>45954</v>
      </c>
      <c r="I12" s="69">
        <v>45955</v>
      </c>
    </row>
    <row r="13" spans="2:9" s="67" customFormat="1" ht="75" customHeight="1" x14ac:dyDescent="0.15">
      <c r="B13" s="77"/>
      <c r="C13" s="139"/>
      <c r="D13" s="138"/>
      <c r="E13" s="135"/>
      <c r="F13" s="138"/>
      <c r="G13" s="135"/>
      <c r="H13" s="138" t="s">
        <v>5</v>
      </c>
      <c r="I13" s="160"/>
    </row>
    <row r="14" spans="2:9" ht="25" customHeight="1" x14ac:dyDescent="0.2">
      <c r="B14" s="76"/>
      <c r="C14" s="36">
        <f t="array" ref="C14:I14">DaysAndWeeks+DATE(CalendarYear,10,1)-WEEKDAY(DATE(CalendarYear,10,1),(WeekStart="M")+1)+29</f>
        <v>45956</v>
      </c>
      <c r="D14" s="33">
        <v>45957</v>
      </c>
      <c r="E14" s="33">
        <v>45958</v>
      </c>
      <c r="F14" s="33">
        <v>45959</v>
      </c>
      <c r="G14" s="33">
        <v>45960</v>
      </c>
      <c r="H14" s="35">
        <v>45961</v>
      </c>
      <c r="I14" s="71">
        <v>45962</v>
      </c>
    </row>
    <row r="15" spans="2:9" s="107" customFormat="1" ht="75" customHeight="1" x14ac:dyDescent="0.15">
      <c r="B15" s="108"/>
      <c r="C15" s="138" t="s">
        <v>5</v>
      </c>
      <c r="D15" s="138"/>
      <c r="E15" s="135"/>
      <c r="F15" s="138"/>
      <c r="G15" s="135"/>
      <c r="H15" s="183"/>
      <c r="I15" s="184"/>
    </row>
    <row r="16" spans="2:9" ht="25" customHeight="1" x14ac:dyDescent="0.2">
      <c r="B16" s="76"/>
      <c r="C16" s="42">
        <f t="array" ref="C16:I16">DaysAndWeeks+DATE(CalendarYear,10,1)-WEEKDAY(DATE(CalendarYear,10,1),(WeekStart="M")+1)+36</f>
        <v>45963</v>
      </c>
      <c r="D16" s="35">
        <v>45964</v>
      </c>
      <c r="E16" s="35">
        <v>45965</v>
      </c>
      <c r="F16" s="35">
        <v>45966</v>
      </c>
      <c r="G16" s="35">
        <v>45967</v>
      </c>
      <c r="H16" s="35">
        <v>45968</v>
      </c>
      <c r="I16" s="35">
        <v>45969</v>
      </c>
    </row>
    <row r="17" spans="2:9" s="67" customFormat="1" ht="75" customHeight="1" x14ac:dyDescent="0.15">
      <c r="B17" s="77"/>
      <c r="C17" s="182"/>
      <c r="D17" s="66"/>
      <c r="E17" s="66"/>
      <c r="F17" s="66"/>
      <c r="G17" s="66"/>
      <c r="H17" s="66"/>
      <c r="I17" s="66"/>
    </row>
    <row r="18" spans="2:9" s="1" customFormat="1" ht="125" customHeight="1" thickBot="1" x14ac:dyDescent="0.2">
      <c r="B18" s="75"/>
      <c r="C18" s="191" t="s">
        <v>6</v>
      </c>
      <c r="D18" s="192"/>
      <c r="E18" s="192"/>
      <c r="F18" s="192"/>
      <c r="G18" s="192"/>
      <c r="H18" s="192"/>
      <c r="I18" s="193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4 D15:I15 C16: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topLeftCell="C1" zoomScaleNormal="100" workbookViewId="0">
      <pane ySplit="5" topLeftCell="A6" activePane="bottomLeft" state="frozen"/>
      <selection pane="bottomLeft" activeCell="F15" sqref="F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89" t="s">
        <v>40</v>
      </c>
      <c r="D2" s="189"/>
      <c r="E2" s="189"/>
      <c r="F2" s="189"/>
      <c r="G2" s="189"/>
      <c r="H2" s="189"/>
      <c r="I2" s="190"/>
    </row>
    <row r="3" spans="2:9" ht="20" customHeight="1" x14ac:dyDescent="0.3">
      <c r="B3" s="75"/>
      <c r="C3" s="59"/>
      <c r="D3" s="60"/>
      <c r="E3" s="60"/>
      <c r="F3" s="61"/>
      <c r="G3" s="17" t="s">
        <v>34</v>
      </c>
      <c r="H3" s="17" t="s">
        <v>35</v>
      </c>
      <c r="I3" s="79"/>
    </row>
    <row r="4" spans="2:9" ht="75" customHeight="1" x14ac:dyDescent="0.65">
      <c r="B4" s="75"/>
      <c r="C4" s="144">
        <f>CalendarYear</f>
        <v>2025</v>
      </c>
      <c r="D4" s="201" t="s">
        <v>36</v>
      </c>
      <c r="E4" s="201"/>
      <c r="F4" s="201"/>
      <c r="G4" s="201"/>
      <c r="H4" s="201"/>
      <c r="I4" s="143"/>
    </row>
    <row r="5" spans="2:9" ht="35" customHeight="1" x14ac:dyDescent="0.15">
      <c r="B5" s="75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 x14ac:dyDescent="0.2">
      <c r="B6" s="76"/>
      <c r="C6" s="42">
        <f t="array" ref="C6:I6">DaysAndWeeks+DATE(CalendarYear,11,1)-WEEKDAY(DATE(CalendarYear,11,1),(WeekStart="M")+1)+1</f>
        <v>45956</v>
      </c>
      <c r="D6" s="35">
        <v>45957</v>
      </c>
      <c r="E6" s="35">
        <v>45958</v>
      </c>
      <c r="F6" s="35">
        <v>45959</v>
      </c>
      <c r="G6" s="35">
        <v>45960</v>
      </c>
      <c r="H6" s="33">
        <v>45961</v>
      </c>
      <c r="I6" s="69">
        <v>45962</v>
      </c>
    </row>
    <row r="7" spans="2:9" s="67" customFormat="1" ht="75" customHeight="1" x14ac:dyDescent="0.15">
      <c r="B7" s="77"/>
      <c r="C7" s="68"/>
      <c r="D7" s="66"/>
      <c r="E7" s="185"/>
      <c r="F7" s="162"/>
      <c r="G7" s="136"/>
      <c r="H7" s="62"/>
      <c r="I7" s="70"/>
    </row>
    <row r="8" spans="2:9" s="32" customFormat="1" ht="25" customHeight="1" x14ac:dyDescent="0.2">
      <c r="B8" s="76"/>
      <c r="C8" s="36">
        <f t="array" ref="C8:I8">DaysAndWeeks+DATE(CalendarYear,11,1)-WEEKDAY(DATE(CalendarYear,11,1),(WeekStart="M")+1)+8</f>
        <v>45963</v>
      </c>
      <c r="D8" s="33">
        <v>45964</v>
      </c>
      <c r="E8" s="110">
        <v>45965</v>
      </c>
      <c r="F8" s="33">
        <v>45966</v>
      </c>
      <c r="G8" s="33">
        <v>45967</v>
      </c>
      <c r="H8" s="33">
        <v>45968</v>
      </c>
      <c r="I8" s="69">
        <v>45969</v>
      </c>
    </row>
    <row r="9" spans="2:9" s="67" customFormat="1" ht="75" customHeight="1" x14ac:dyDescent="0.15">
      <c r="B9" s="77"/>
      <c r="C9" s="139"/>
      <c r="D9" s="138"/>
      <c r="E9" s="135"/>
      <c r="F9" s="138"/>
      <c r="G9" s="135"/>
      <c r="H9" s="138" t="s">
        <v>5</v>
      </c>
      <c r="I9" s="160"/>
    </row>
    <row r="10" spans="2:9" s="32" customFormat="1" ht="25" customHeight="1" x14ac:dyDescent="0.2">
      <c r="B10" s="76"/>
      <c r="C10" s="36">
        <f t="array" ref="C10:I10">DaysAndWeeks+DATE(CalendarYear,11,1)-WEEKDAY(DATE(CalendarYear,11,1),(WeekStart="M")+1)+15</f>
        <v>45970</v>
      </c>
      <c r="D10" s="33">
        <v>45971</v>
      </c>
      <c r="E10" s="110">
        <v>45972</v>
      </c>
      <c r="F10" s="33">
        <v>45973</v>
      </c>
      <c r="G10" s="33">
        <v>45974</v>
      </c>
      <c r="H10" s="33">
        <v>45975</v>
      </c>
      <c r="I10" s="69">
        <v>45976</v>
      </c>
    </row>
    <row r="11" spans="2:9" s="67" customFormat="1" ht="75" customHeight="1" x14ac:dyDescent="0.15">
      <c r="B11" s="77"/>
      <c r="C11" s="139">
        <v>0.625</v>
      </c>
      <c r="D11" s="138"/>
      <c r="E11" s="135"/>
      <c r="F11" s="138"/>
      <c r="G11" s="135"/>
      <c r="H11" s="62"/>
      <c r="I11" s="70"/>
    </row>
    <row r="12" spans="2:9" s="32" customFormat="1" ht="25" customHeight="1" x14ac:dyDescent="0.2">
      <c r="B12" s="76"/>
      <c r="C12" s="36">
        <f t="array" ref="C12:I12">DaysAndWeeks+DATE(CalendarYear,11,1)-WEEKDAY(DATE(CalendarYear,11,1),(WeekStart="M")+1)+22</f>
        <v>45977</v>
      </c>
      <c r="D12" s="33">
        <v>45978</v>
      </c>
      <c r="E12" s="110">
        <v>45979</v>
      </c>
      <c r="F12" s="33">
        <v>45980</v>
      </c>
      <c r="G12" s="33">
        <v>45981</v>
      </c>
      <c r="H12" s="33">
        <v>45982</v>
      </c>
      <c r="I12" s="69">
        <v>45983</v>
      </c>
    </row>
    <row r="13" spans="2:9" s="67" customFormat="1" ht="75" customHeight="1" x14ac:dyDescent="0.15">
      <c r="B13" s="77"/>
      <c r="C13" s="139"/>
      <c r="D13" s="138"/>
      <c r="E13" s="135"/>
      <c r="F13" s="138"/>
      <c r="G13" s="135"/>
      <c r="H13" s="138" t="s">
        <v>5</v>
      </c>
      <c r="I13" s="160"/>
    </row>
    <row r="14" spans="2:9" s="32" customFormat="1" ht="25" customHeight="1" x14ac:dyDescent="0.2">
      <c r="B14" s="76"/>
      <c r="C14" s="36">
        <f t="array" ref="C14:I14">DaysAndWeeks+DATE(CalendarYear,11,1)-WEEKDAY(DATE(CalendarYear,11,1),(WeekStart="M")+1)+29</f>
        <v>45984</v>
      </c>
      <c r="D14" s="33">
        <v>45985</v>
      </c>
      <c r="E14" s="110">
        <v>45986</v>
      </c>
      <c r="F14" s="33">
        <v>45987</v>
      </c>
      <c r="G14" s="146">
        <v>45988</v>
      </c>
      <c r="H14" s="146">
        <v>45989</v>
      </c>
      <c r="I14" s="166">
        <v>45990</v>
      </c>
    </row>
    <row r="15" spans="2:9" s="67" customFormat="1" ht="75" customHeight="1" x14ac:dyDescent="0.15">
      <c r="B15" s="77"/>
      <c r="C15" s="139">
        <v>0.625</v>
      </c>
      <c r="D15" s="138"/>
      <c r="E15" s="135"/>
      <c r="F15" s="138"/>
      <c r="G15" s="174"/>
      <c r="H15" s="174"/>
      <c r="I15" s="175"/>
    </row>
    <row r="16" spans="2:9" s="32" customFormat="1" ht="25" customHeight="1" x14ac:dyDescent="0.2">
      <c r="B16" s="76"/>
      <c r="C16" s="65">
        <f t="array" ref="C16:I16">DaysAndWeeks+DATE(CalendarYear,11,1)-WEEKDAY(DATE(CalendarYear,11,1),(WeekStart="M")+1)+36</f>
        <v>45991</v>
      </c>
      <c r="D16" s="35">
        <v>45992</v>
      </c>
      <c r="E16" s="35">
        <v>45993</v>
      </c>
      <c r="F16" s="35">
        <v>45994</v>
      </c>
      <c r="G16" s="35">
        <v>45995</v>
      </c>
      <c r="H16" s="35">
        <v>45996</v>
      </c>
      <c r="I16" s="71">
        <v>45997</v>
      </c>
    </row>
    <row r="17" spans="2:9" s="67" customFormat="1" ht="75" customHeight="1" x14ac:dyDescent="0.15">
      <c r="B17" s="77"/>
      <c r="C17" s="102"/>
      <c r="D17" s="66"/>
      <c r="E17" s="66"/>
      <c r="F17" s="66"/>
      <c r="G17" s="66"/>
      <c r="H17" s="66"/>
      <c r="I17" s="72"/>
    </row>
    <row r="18" spans="2:9" ht="125" customHeight="1" thickBot="1" x14ac:dyDescent="0.2">
      <c r="B18" s="75"/>
      <c r="C18" s="191" t="s">
        <v>6</v>
      </c>
      <c r="D18" s="192"/>
      <c r="E18" s="192"/>
      <c r="F18" s="192"/>
      <c r="G18" s="192"/>
      <c r="H18" s="192"/>
      <c r="I18" s="19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4 D15:I15 C16: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F17" sqref="F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0"/>
      <c r="D1" s="80"/>
      <c r="E1" s="80"/>
      <c r="F1" s="80"/>
      <c r="G1" s="80"/>
      <c r="H1" s="80"/>
      <c r="I1" s="80"/>
    </row>
    <row r="2" spans="2:9" ht="75" customHeight="1" thickTop="1" x14ac:dyDescent="0.15">
      <c r="B2" s="75"/>
      <c r="C2" s="189" t="s">
        <v>40</v>
      </c>
      <c r="D2" s="189"/>
      <c r="E2" s="189"/>
      <c r="F2" s="189"/>
      <c r="G2" s="189"/>
      <c r="H2" s="189"/>
      <c r="I2" s="190"/>
    </row>
    <row r="3" spans="2:9" ht="20" customHeight="1" x14ac:dyDescent="0.3">
      <c r="B3" s="75"/>
      <c r="C3" s="59"/>
      <c r="D3" s="60"/>
      <c r="E3" s="60"/>
      <c r="F3" s="61"/>
      <c r="G3" s="17" t="s">
        <v>37</v>
      </c>
      <c r="H3" s="17" t="s">
        <v>38</v>
      </c>
      <c r="I3" s="79"/>
    </row>
    <row r="4" spans="2:9" ht="75" customHeight="1" x14ac:dyDescent="0.65">
      <c r="B4" s="75"/>
      <c r="C4" s="144">
        <f>CalendarYear</f>
        <v>2025</v>
      </c>
      <c r="D4" s="201" t="s">
        <v>39</v>
      </c>
      <c r="E4" s="201"/>
      <c r="F4" s="201"/>
      <c r="G4" s="201"/>
      <c r="H4" s="201"/>
      <c r="I4" s="143"/>
    </row>
    <row r="5" spans="2:9" ht="35" customHeight="1" x14ac:dyDescent="0.15">
      <c r="B5" s="75"/>
      <c r="C5" s="11" t="str">
        <f>WeekStart</f>
        <v>S</v>
      </c>
      <c r="D5" s="11" t="str">
        <f t="shared" ref="D5:I5" si="0">LEFT(TEXT(D6,"ddd"),1)</f>
        <v>M</v>
      </c>
      <c r="E5" s="11" t="str">
        <f t="shared" si="0"/>
        <v>T</v>
      </c>
      <c r="F5" s="11" t="str">
        <f t="shared" si="0"/>
        <v>W</v>
      </c>
      <c r="G5" s="11" t="str">
        <f t="shared" si="0"/>
        <v>T</v>
      </c>
      <c r="H5" s="11" t="str">
        <f t="shared" si="0"/>
        <v>F</v>
      </c>
      <c r="I5" s="12" t="str">
        <f t="shared" si="0"/>
        <v>S</v>
      </c>
    </row>
    <row r="6" spans="2:9" s="32" customFormat="1" ht="25" customHeight="1" x14ac:dyDescent="0.2">
      <c r="B6" s="76"/>
      <c r="C6" s="165">
        <f t="array" ref="C6:I6">DaysAndWeeks+DATE(CalendarYear,12,1)-WEEKDAY(DATE(CalendarYear,12,1),(WeekStart="M")+1)+1</f>
        <v>45991</v>
      </c>
      <c r="D6" s="146">
        <v>45992</v>
      </c>
      <c r="E6" s="146">
        <v>45993</v>
      </c>
      <c r="F6" s="146">
        <v>45994</v>
      </c>
      <c r="G6" s="33">
        <v>45995</v>
      </c>
      <c r="H6" s="33">
        <v>45996</v>
      </c>
      <c r="I6" s="69">
        <v>45997</v>
      </c>
    </row>
    <row r="7" spans="2:9" s="67" customFormat="1" ht="75" customHeight="1" x14ac:dyDescent="0.15">
      <c r="B7" s="77"/>
      <c r="C7" s="186"/>
      <c r="D7" s="174"/>
      <c r="E7" s="174"/>
      <c r="F7" s="187"/>
      <c r="G7" s="126"/>
      <c r="H7" s="126">
        <v>0.625</v>
      </c>
      <c r="I7" s="70"/>
    </row>
    <row r="8" spans="2:9" s="32" customFormat="1" ht="25" customHeight="1" x14ac:dyDescent="0.2">
      <c r="B8" s="76"/>
      <c r="C8" s="36">
        <f t="array" ref="C8:I8">DaysAndWeeks+DATE(CalendarYear,12,1)-WEEKDAY(DATE(CalendarYear,12,1),(WeekStart="M")+1)+8</f>
        <v>45998</v>
      </c>
      <c r="D8" s="33">
        <v>45999</v>
      </c>
      <c r="E8" s="36">
        <v>46000</v>
      </c>
      <c r="F8" s="33">
        <v>46001</v>
      </c>
      <c r="G8" s="33">
        <v>46002</v>
      </c>
      <c r="H8" s="33">
        <v>46003</v>
      </c>
      <c r="I8" s="69">
        <v>46004</v>
      </c>
    </row>
    <row r="9" spans="2:9" s="67" customFormat="1" ht="75" customHeight="1" x14ac:dyDescent="0.15">
      <c r="B9" s="77"/>
      <c r="C9" s="139">
        <v>0.625</v>
      </c>
      <c r="D9" s="138"/>
      <c r="E9" s="135"/>
      <c r="F9" s="138"/>
      <c r="G9" s="135"/>
      <c r="H9" s="62"/>
      <c r="I9" s="160"/>
    </row>
    <row r="10" spans="2:9" s="32" customFormat="1" ht="25" customHeight="1" x14ac:dyDescent="0.2">
      <c r="B10" s="76"/>
      <c r="C10" s="36">
        <f t="array" ref="C10:I10">DaysAndWeeks+DATE(CalendarYear,12,1)-WEEKDAY(DATE(CalendarYear,12,1),(WeekStart="M")+1)+15</f>
        <v>46005</v>
      </c>
      <c r="D10" s="33">
        <v>46006</v>
      </c>
      <c r="E10" s="33">
        <v>46007</v>
      </c>
      <c r="F10" s="33">
        <v>46008</v>
      </c>
      <c r="G10" s="33">
        <v>46009</v>
      </c>
      <c r="H10" s="33">
        <v>46010</v>
      </c>
      <c r="I10" s="69">
        <v>46011</v>
      </c>
    </row>
    <row r="11" spans="2:9" s="67" customFormat="1" ht="75" customHeight="1" x14ac:dyDescent="0.15">
      <c r="B11" s="77"/>
      <c r="C11" s="139"/>
      <c r="D11" s="138"/>
      <c r="E11" s="135"/>
      <c r="F11" s="138"/>
      <c r="G11" s="135"/>
      <c r="H11" s="138" t="s">
        <v>5</v>
      </c>
      <c r="I11" s="70"/>
    </row>
    <row r="12" spans="2:9" s="32" customFormat="1" ht="25" customHeight="1" x14ac:dyDescent="0.2">
      <c r="B12" s="76"/>
      <c r="C12" s="36">
        <f t="array" ref="C12:I12">DaysAndWeeks+DATE(CalendarYear,12,1)-WEEKDAY(DATE(CalendarYear,12,1),(WeekStart="M")+1)+22</f>
        <v>46012</v>
      </c>
      <c r="D12" s="33">
        <v>46013</v>
      </c>
      <c r="E12" s="33">
        <v>46014</v>
      </c>
      <c r="F12" s="33">
        <v>46015</v>
      </c>
      <c r="G12" s="33">
        <v>46016</v>
      </c>
      <c r="H12" s="33">
        <v>46017</v>
      </c>
      <c r="I12" s="69">
        <v>46018</v>
      </c>
    </row>
    <row r="13" spans="2:9" s="67" customFormat="1" ht="75" customHeight="1" x14ac:dyDescent="0.15">
      <c r="B13" s="77"/>
      <c r="C13" s="139" t="s">
        <v>5</v>
      </c>
      <c r="D13" s="138"/>
      <c r="E13" s="135"/>
      <c r="F13" s="138"/>
      <c r="G13" s="135"/>
      <c r="H13" s="62"/>
      <c r="I13" s="160"/>
    </row>
    <row r="14" spans="2:9" s="32" customFormat="1" ht="25" customHeight="1" x14ac:dyDescent="0.2">
      <c r="B14" s="76"/>
      <c r="C14" s="36">
        <f t="array" ref="C14:I14">DaysAndWeeks+DATE(CalendarYear,12,1)-WEEKDAY(DATE(CalendarYear,12,1),(WeekStart="M")+1)+29</f>
        <v>46019</v>
      </c>
      <c r="D14" s="33">
        <v>46020</v>
      </c>
      <c r="E14" s="33">
        <v>46021</v>
      </c>
      <c r="F14" s="35">
        <v>46022</v>
      </c>
      <c r="G14" s="35">
        <v>46023</v>
      </c>
      <c r="H14" s="35">
        <v>46024</v>
      </c>
      <c r="I14" s="71">
        <v>46025</v>
      </c>
    </row>
    <row r="15" spans="2:9" s="67" customFormat="1" ht="75" customHeight="1" x14ac:dyDescent="0.15">
      <c r="B15" s="77"/>
      <c r="C15" s="139"/>
      <c r="D15" s="138"/>
      <c r="E15" s="135"/>
      <c r="F15" s="162"/>
      <c r="G15" s="136"/>
      <c r="H15" s="66"/>
      <c r="I15" s="72"/>
    </row>
    <row r="16" spans="2:9" s="32" customFormat="1" ht="25" customHeight="1" x14ac:dyDescent="0.2">
      <c r="B16" s="76"/>
      <c r="C16" s="42">
        <f t="array" ref="C16:I16">DaysAndWeeks+DATE(CalendarYear,12,1)-WEEKDAY(DATE(CalendarYear,12,1),(WeekStart="M")+1)+36</f>
        <v>46026</v>
      </c>
      <c r="D16" s="35">
        <v>46027</v>
      </c>
      <c r="E16" s="65">
        <v>46028</v>
      </c>
      <c r="F16" s="35">
        <v>46029</v>
      </c>
      <c r="G16" s="35">
        <v>46030</v>
      </c>
      <c r="H16" s="65">
        <v>46031</v>
      </c>
      <c r="I16" s="71">
        <v>46032</v>
      </c>
    </row>
    <row r="17" spans="2:9" s="67" customFormat="1" ht="75" customHeight="1" x14ac:dyDescent="0.15">
      <c r="B17" s="77"/>
      <c r="C17" s="182"/>
      <c r="D17" s="66"/>
      <c r="E17" s="102"/>
      <c r="F17" s="162"/>
      <c r="G17" s="66"/>
      <c r="H17" s="102"/>
      <c r="I17" s="72"/>
    </row>
    <row r="18" spans="2:9" ht="125" customHeight="1" thickBot="1" x14ac:dyDescent="0.2">
      <c r="B18" s="75"/>
      <c r="C18" s="191" t="s">
        <v>6</v>
      </c>
      <c r="D18" s="192"/>
      <c r="E18" s="192"/>
      <c r="F18" s="192"/>
      <c r="G18" s="192"/>
      <c r="H18" s="192"/>
      <c r="I18" s="19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B487B-88F4-4225-8978-8862783E5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3D3B50-9C06-4B6A-9259-B343EDB2991B}">
  <ds:schemaRefs>
    <ds:schemaRef ds:uri="http://schemas.microsoft.com/office/2006/metadata/properties"/>
    <ds:schemaRef ds:uri="http://schemas.microsoft.com/office/infopath/2007/PartnerControls"/>
    <ds:schemaRef ds:uri="2f96a5e1-f937-4986-abb4-c031ec480b26"/>
    <ds:schemaRef ds:uri="6088389d-f9a4-418b-a8d8-f0ed3f71e6c8"/>
  </ds:schemaRefs>
</ds:datastoreItem>
</file>

<file path=customXml/itemProps3.xml><?xml version="1.0" encoding="utf-8"?>
<ds:datastoreItem xmlns:ds="http://schemas.openxmlformats.org/officeDocument/2006/customXml" ds:itemID="{790B4DF4-62C3-472A-91EF-ADB8F24E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Catherine Mahanna</cp:lastModifiedBy>
  <cp:revision/>
  <dcterms:created xsi:type="dcterms:W3CDTF">2016-11-11T22:25:27Z</dcterms:created>
  <dcterms:modified xsi:type="dcterms:W3CDTF">2025-02-27T18:57:56Z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