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13_ncr:1_{F87B8CAC-FBF3-2145-9672-C30A2B6F4B66}" xr6:coauthVersionLast="47" xr6:coauthVersionMax="47" xr10:uidLastSave="{00000000-0000-0000-0000-000000000000}"/>
  <bookViews>
    <workbookView xWindow="0" yWindow="740" windowWidth="34560" windowHeight="21600" activeTab="11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<sst xmlns="http://schemas.openxmlformats.org/spreadsheetml/2006/main" count="63" uniqueCount="41">
  <si>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</si>
  <si>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</si>
  <si>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</si>
  <si>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</si>
  <si>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</si>
  <si>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</si>
  <si>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</si>
  <si>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</si>
  <si>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</si>
  <si>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</si>
  <si>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</si>
  <si>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</si>
  <si>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</si>
  <si>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</si>
  <si>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</si>
  <si>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</si>
  <si>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</si>
  <si>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</si>
  <si>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</si>
  <si>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</si>
  <si>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</si>
  <si>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</si>
  <si>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</si>
  <si>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</si>
  <si>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</si>
  <si>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</si>
  <si>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</si>
  <si>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</si>
  <si>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</si>
  <si>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</si>
  <si>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</si>
  <si>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</si>
  <si>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</si>
  <si>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</si>
  <si>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</si>
  <si>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</si>
  <si>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</si>
  <si>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</si>
  <si>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</si>
  <si>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 xml:space="preserve"> 3:00 PM</t>
  </si>
  <si>
    <t>50/50 2-2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</si>
</sst>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75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4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4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3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3" xfId="11" applyFont="1" applyFill="1" applyBorder="1">
      <alignment horizontal="left" vertical="top" wrapText="1" indent="1"/>
    </xf>
    <xf numFmtId="164" fontId="29" fillId="3" borderId="24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3" borderId="23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7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4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7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164" fontId="27" fillId="3" borderId="17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164" fontId="23" fillId="3" borderId="24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7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7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4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7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3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3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/>
    <xf numFmtId="0" fontId="41" fillId="2" borderId="30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64" fontId="27" fillId="5" borderId="13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0" fontId="34" fillId="0" borderId="9" xfId="11" applyFont="1" applyBorder="1" applyAlignment="1">
      <alignment horizontal="left" vertical="top" wrapText="1"/>
    </xf>
    <xf numFmtId="18" fontId="11" fillId="3" borderId="29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19" fontId="11" fillId="3" borderId="23" xfId="11" applyNumberFormat="1" applyFont="1" applyFill="1" applyBorder="1" applyAlignment="1">
      <alignment horizontal="center" vertical="top" wrapText="1"/>
    </xf>
    <xf numFmtId="18" fontId="42" fillId="0" borderId="23" xfId="0" applyNumberFormat="1" applyFont="1" applyBorder="1" applyAlignment="1">
      <alignment horizontal="center" vertical="top" wrapText="1"/>
    </xf>
    <xf numFmtId="18" fontId="11" fillId="0" borderId="31" xfId="11" applyNumberFormat="1" applyFont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0" fontId="33" fillId="5" borderId="9" xfId="11" applyFont="1" applyFill="1" applyBorder="1" applyAlignment="1">
      <alignment horizontal="left" vertical="top" wrapText="1"/>
    </xf>
    <xf numFmtId="164" fontId="30" fillId="5" borderId="8" xfId="4" applyFont="1" applyFill="1" applyBorder="1">
      <alignment horizontal="left" indent="1"/>
    </xf>
    <xf numFmtId="18" fontId="11" fillId="3" borderId="12" xfId="11" applyNumberFormat="1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24" xfId="4" applyFont="1" applyFill="1" applyBorder="1">
      <alignment horizontal="left" indent="1"/>
    </xf>
    <xf numFmtId="18" fontId="33" fillId="3" borderId="23" xfId="11" applyNumberFormat="1" applyFont="1" applyFill="1" applyBorder="1" applyAlignment="1">
      <alignment horizontal="center" vertical="top" wrapText="1"/>
    </xf>
    <xf numFmtId="164" fontId="27" fillId="3" borderId="25" xfId="4" applyFont="1" applyFill="1" applyBorder="1">
      <alignment horizontal="left" indent="1"/>
    </xf>
    <xf numFmtId="0" fontId="11" fillId="3" borderId="0" xfId="0" applyFont="1" applyFill="1" applyAlignment="1">
      <alignment horizontal="left" vertical="top" wrapText="1"/>
    </xf>
    <xf numFmtId="0" fontId="11" fillId="5" borderId="23" xfId="11" applyFont="1" applyFill="1" applyBorder="1" applyAlignment="1">
      <alignment horizontal="left" vertical="top" wrapText="1"/>
    </xf>
    <xf numFmtId="19" fontId="11" fillId="5" borderId="9" xfId="11" applyNumberFormat="1" applyFont="1" applyFill="1" applyBorder="1" applyAlignment="1">
      <alignment horizontal="center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64" fontId="27" fillId="5" borderId="0" xfId="4" applyFont="1" applyFill="1" applyBorder="1">
      <alignment horizontal="left" indent="1"/>
    </xf>
    <xf numFmtId="0" fontId="33" fillId="3" borderId="16" xfId="0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center" vertical="top" wrapText="1"/>
    </xf>
    <xf numFmtId="0" fontId="13" fillId="3" borderId="0" xfId="0" applyFont="1" applyFill="1">
      <alignment horizontal="left" vertical="top" wrapText="1" indent="1"/>
    </xf>
    <xf numFmtId="18" fontId="11" fillId="3" borderId="31" xfId="11" applyNumberFormat="1" applyFont="1" applyFill="1" applyBorder="1" applyAlignment="1">
      <alignment horizontal="center" vertical="top" wrapText="1"/>
    </xf>
    <xf numFmtId="18" fontId="42" fillId="0" borderId="9" xfId="0" applyNumberFormat="1" applyFont="1" applyBorder="1" applyAlignment="1">
      <alignment horizontal="center" vertical="top" wrapText="1"/>
    </xf>
    <xf numFmtId="18" fontId="42" fillId="3" borderId="9" xfId="0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8" xfId="11" applyFont="1" applyFill="1" applyBorder="1">
      <alignment horizontal="left" vertical="top" wrapText="1" inden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49" fontId="24" fillId="2" borderId="21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6" xfId="11" applyFont="1" applyFill="1" applyBorder="1">
      <alignment horizontal="left" vertical="top" wrapText="1" indent="1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1" xfId="0" applyNumberFormat="1" applyFont="1" applyFill="1" applyBorder="1" applyAlignment="1">
      <alignment horizontal="center"/>
    </xf>
    <xf numFmtId="49" fontId="24" fillId="2" borderId="21" xfId="1" applyNumberFormat="1" applyFont="1" applyFill="1" applyBorder="1" applyAlignment="1">
      <alignment horizontal="center"/>
    </xf>
    <xf numFmtId="0" fontId="11" fillId="3" borderId="0" xfId="11" applyFont="1" applyFill="1" applyBorder="1" applyAlignment="1">
      <alignment horizontal="left" vertical="top" wrapTex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1219200</xdr:colOff>
      <xdr:row>8</xdr:row>
      <xdr:rowOff>189948</xdr:rowOff>
    </xdr:from>
    <xdr:to>
      <xdr:col>5</xdr:col>
      <xdr:colOff>1181100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29100" y="4571448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189948</xdr:rowOff>
    </xdr:from>
    <xdr:to>
      <xdr:col>3</xdr:col>
      <xdr:colOff>1206500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3400" y="4571448"/>
          <a:ext cx="368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10</xdr:row>
      <xdr:rowOff>191054</xdr:rowOff>
    </xdr:from>
    <xdr:to>
      <xdr:col>4</xdr:col>
      <xdr:colOff>1181100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27200" y="5842554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1143000</xdr:colOff>
      <xdr:row>12</xdr:row>
      <xdr:rowOff>164549</xdr:rowOff>
    </xdr:from>
    <xdr:to>
      <xdr:col>7</xdr:col>
      <xdr:colOff>1193800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05900" y="7086049"/>
          <a:ext cx="500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164549</xdr:rowOff>
    </xdr:from>
    <xdr:to>
      <xdr:col>5</xdr:col>
      <xdr:colOff>1143000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140200" y="7086049"/>
          <a:ext cx="496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181648</xdr:rowOff>
    </xdr:from>
    <xdr:to>
      <xdr:col>3</xdr:col>
      <xdr:colOff>1130300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8800" y="8373148"/>
          <a:ext cx="358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14</xdr:row>
      <xdr:rowOff>190500</xdr:rowOff>
    </xdr:from>
    <xdr:to>
      <xdr:col>5</xdr:col>
      <xdr:colOff>1193800</xdr:colOff>
      <xdr:row>14</xdr:row>
      <xdr:rowOff>508000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140200" y="8382000"/>
          <a:ext cx="501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171880</xdr:rowOff>
    </xdr:from>
    <xdr:to>
      <xdr:col>2</xdr:col>
      <xdr:colOff>1231900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100" y="3283380"/>
          <a:ext cx="12192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6</xdr:row>
      <xdr:rowOff>171880</xdr:rowOff>
    </xdr:from>
    <xdr:to>
      <xdr:col>4</xdr:col>
      <xdr:colOff>1219200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78000" y="3283380"/>
          <a:ext cx="49276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10</xdr:row>
      <xdr:rowOff>190500</xdr:rowOff>
    </xdr:from>
    <xdr:to>
      <xdr:col>2</xdr:col>
      <xdr:colOff>1181100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8799" y="5842000"/>
          <a:ext cx="11557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1168400</xdr:colOff>
      <xdr:row>16</xdr:row>
      <xdr:rowOff>257848</xdr:rowOff>
    </xdr:from>
    <xdr:to>
      <xdr:col>4</xdr:col>
      <xdr:colOff>1117600</xdr:colOff>
      <xdr:row>16</xdr:row>
      <xdr:rowOff>575347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6185E1-83A4-8F44-9525-B7527A06E01D}"/>
            </a:ext>
          </a:extLst>
        </xdr:cNvPr>
        <xdr:cNvSpPr txBox="1"/>
      </xdr:nvSpPr>
      <xdr:spPr>
        <a:xfrm>
          <a:off x="1701800" y="9719348"/>
          <a:ext cx="490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1117600</xdr:colOff>
      <xdr:row>16</xdr:row>
      <xdr:rowOff>253449</xdr:rowOff>
    </xdr:from>
    <xdr:to>
      <xdr:col>6</xdr:col>
      <xdr:colOff>1193800</xdr:colOff>
      <xdr:row>16</xdr:row>
      <xdr:rowOff>570948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E852661-5F95-CE49-8754-0DA832838D95}"/>
            </a:ext>
          </a:extLst>
        </xdr:cNvPr>
        <xdr:cNvSpPr txBox="1"/>
      </xdr:nvSpPr>
      <xdr:spPr>
        <a:xfrm>
          <a:off x="6604000" y="9714949"/>
          <a:ext cx="502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6</xdr:row>
      <xdr:rowOff>164548</xdr:rowOff>
    </xdr:from>
    <xdr:to>
      <xdr:col>6</xdr:col>
      <xdr:colOff>1244600</xdr:colOff>
      <xdr:row>6</xdr:row>
      <xdr:rowOff>482048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3A0C20-F8C9-A043-8BD5-D7AC7788D432}"/>
            </a:ext>
          </a:extLst>
        </xdr:cNvPr>
        <xdr:cNvSpPr txBox="1"/>
      </xdr:nvSpPr>
      <xdr:spPr>
        <a:xfrm>
          <a:off x="6705600" y="3276048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6</xdr:row>
      <xdr:rowOff>171880</xdr:rowOff>
    </xdr:from>
    <xdr:to>
      <xdr:col>8</xdr:col>
      <xdr:colOff>1219200</xdr:colOff>
      <xdr:row>6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0A87EB-4E1B-1E44-8152-F3CB4C30698C}"/>
            </a:ext>
          </a:extLst>
        </xdr:cNvPr>
        <xdr:cNvSpPr txBox="1"/>
      </xdr:nvSpPr>
      <xdr:spPr>
        <a:xfrm>
          <a:off x="11684000" y="3283380"/>
          <a:ext cx="49276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8</xdr:col>
      <xdr:colOff>1219200</xdr:colOff>
      <xdr:row>6</xdr:row>
      <xdr:rowOff>171880</xdr:rowOff>
    </xdr:from>
    <xdr:to>
      <xdr:col>9</xdr:col>
      <xdr:colOff>25400</xdr:colOff>
      <xdr:row>6</xdr:row>
      <xdr:rowOff>486993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5F3E43-9220-0348-AB75-ED18E34A5563}"/>
            </a:ext>
          </a:extLst>
        </xdr:cNvPr>
        <xdr:cNvSpPr txBox="1"/>
      </xdr:nvSpPr>
      <xdr:spPr>
        <a:xfrm>
          <a:off x="16611600" y="3283380"/>
          <a:ext cx="12827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190500</xdr:rowOff>
    </xdr:from>
    <xdr:to>
      <xdr:col>8</xdr:col>
      <xdr:colOff>2463800</xdr:colOff>
      <xdr:row>8</xdr:row>
      <xdr:rowOff>508000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6956D58-61CF-C641-83B6-8AB11CB484C2}"/>
            </a:ext>
          </a:extLst>
        </xdr:cNvPr>
        <xdr:cNvSpPr txBox="1"/>
      </xdr:nvSpPr>
      <xdr:spPr>
        <a:xfrm>
          <a:off x="14147800" y="45720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1193800</xdr:colOff>
      <xdr:row>8</xdr:row>
      <xdr:rowOff>189948</xdr:rowOff>
    </xdr:from>
    <xdr:to>
      <xdr:col>7</xdr:col>
      <xdr:colOff>1219200</xdr:colOff>
      <xdr:row>8</xdr:row>
      <xdr:rowOff>507448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95B7BAC-2C48-9E4C-AF5A-39736DD715A0}"/>
            </a:ext>
          </a:extLst>
        </xdr:cNvPr>
        <xdr:cNvSpPr txBox="1"/>
      </xdr:nvSpPr>
      <xdr:spPr>
        <a:xfrm>
          <a:off x="9156700" y="4571448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197280</xdr:rowOff>
    </xdr:from>
    <xdr:to>
      <xdr:col>6</xdr:col>
      <xdr:colOff>1155700</xdr:colOff>
      <xdr:row>10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B273660-A7F6-1B4B-BACA-C163B6ED2365}"/>
            </a:ext>
          </a:extLst>
        </xdr:cNvPr>
        <xdr:cNvSpPr txBox="1"/>
      </xdr:nvSpPr>
      <xdr:spPr>
        <a:xfrm>
          <a:off x="6667500" y="5848780"/>
          <a:ext cx="49276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1155700</xdr:colOff>
      <xdr:row>10</xdr:row>
      <xdr:rowOff>191054</xdr:rowOff>
    </xdr:from>
    <xdr:to>
      <xdr:col>8</xdr:col>
      <xdr:colOff>1206500</xdr:colOff>
      <xdr:row>10</xdr:row>
      <xdr:rowOff>508554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5935724-0C3A-F842-99EF-45629FDD1CBB}"/>
            </a:ext>
          </a:extLst>
        </xdr:cNvPr>
        <xdr:cNvSpPr txBox="1"/>
      </xdr:nvSpPr>
      <xdr:spPr>
        <a:xfrm>
          <a:off x="11595100" y="5842554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1206501</xdr:colOff>
      <xdr:row>10</xdr:row>
      <xdr:rowOff>190500</xdr:rowOff>
    </xdr:from>
    <xdr:to>
      <xdr:col>9</xdr:col>
      <xdr:colOff>12701</xdr:colOff>
      <xdr:row>10</xdr:row>
      <xdr:rowOff>508000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246D3DE-AACE-2848-BDD2-73303649B280}"/>
            </a:ext>
          </a:extLst>
        </xdr:cNvPr>
        <xdr:cNvSpPr txBox="1"/>
      </xdr:nvSpPr>
      <xdr:spPr>
        <a:xfrm>
          <a:off x="16598901" y="5842000"/>
          <a:ext cx="128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164548</xdr:rowOff>
    </xdr:from>
    <xdr:to>
      <xdr:col>3</xdr:col>
      <xdr:colOff>1130300</xdr:colOff>
      <xdr:row>12</xdr:row>
      <xdr:rowOff>482048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706712A-6E82-514D-B88F-FA22709F08DE}"/>
            </a:ext>
          </a:extLst>
        </xdr:cNvPr>
        <xdr:cNvSpPr txBox="1"/>
      </xdr:nvSpPr>
      <xdr:spPr>
        <a:xfrm>
          <a:off x="546100" y="7086048"/>
          <a:ext cx="359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164548</xdr:rowOff>
    </xdr:from>
    <xdr:to>
      <xdr:col>9</xdr:col>
      <xdr:colOff>12700</xdr:colOff>
      <xdr:row>12</xdr:row>
      <xdr:rowOff>482048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842368-F06D-2B46-9F1C-C18CDB5C65F6}"/>
            </a:ext>
          </a:extLst>
        </xdr:cNvPr>
        <xdr:cNvSpPr txBox="1"/>
      </xdr:nvSpPr>
      <xdr:spPr>
        <a:xfrm>
          <a:off x="14122400" y="7086048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14</xdr:row>
      <xdr:rowOff>189949</xdr:rowOff>
    </xdr:from>
    <xdr:to>
      <xdr:col>7</xdr:col>
      <xdr:colOff>1219200</xdr:colOff>
      <xdr:row>14</xdr:row>
      <xdr:rowOff>507448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561A144-F701-4840-9592-51852680C7E3}"/>
            </a:ext>
          </a:extLst>
        </xdr:cNvPr>
        <xdr:cNvSpPr txBox="1"/>
      </xdr:nvSpPr>
      <xdr:spPr>
        <a:xfrm>
          <a:off x="9169400" y="8381449"/>
          <a:ext cx="496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14</xdr:row>
      <xdr:rowOff>189948</xdr:rowOff>
    </xdr:from>
    <xdr:to>
      <xdr:col>9</xdr:col>
      <xdr:colOff>0</xdr:colOff>
      <xdr:row>14</xdr:row>
      <xdr:rowOff>507448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273E9C-94D7-094D-8421-5D25C1AAD200}"/>
            </a:ext>
          </a:extLst>
        </xdr:cNvPr>
        <xdr:cNvSpPr txBox="1"/>
      </xdr:nvSpPr>
      <xdr:spPr>
        <a:xfrm>
          <a:off x="14147800" y="8381448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16</xdr:row>
      <xdr:rowOff>253449</xdr:rowOff>
    </xdr:from>
    <xdr:to>
      <xdr:col>8</xdr:col>
      <xdr:colOff>1219200</xdr:colOff>
      <xdr:row>16</xdr:row>
      <xdr:rowOff>570948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B5C18CE-6D3F-3542-BA95-5AEAA4E709DF}"/>
            </a:ext>
          </a:extLst>
        </xdr:cNvPr>
        <xdr:cNvSpPr txBox="1"/>
      </xdr:nvSpPr>
      <xdr:spPr>
        <a:xfrm>
          <a:off x="11645900" y="9714949"/>
          <a:ext cx="496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1206499</xdr:colOff>
      <xdr:row>16</xdr:row>
      <xdr:rowOff>254000</xdr:rowOff>
    </xdr:from>
    <xdr:to>
      <xdr:col>9</xdr:col>
      <xdr:colOff>12700</xdr:colOff>
      <xdr:row>16</xdr:row>
      <xdr:rowOff>571500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E9C574B-2500-4944-9800-B026D843C802}"/>
            </a:ext>
          </a:extLst>
        </xdr:cNvPr>
        <xdr:cNvSpPr txBox="1"/>
      </xdr:nvSpPr>
      <xdr:spPr>
        <a:xfrm>
          <a:off x="16598899" y="9715500"/>
          <a:ext cx="12827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12699</xdr:colOff>
      <xdr:row>16</xdr:row>
      <xdr:rowOff>266700</xdr:rowOff>
    </xdr:from>
    <xdr:to>
      <xdr:col>2</xdr:col>
      <xdr:colOff>1168400</xdr:colOff>
      <xdr:row>16</xdr:row>
      <xdr:rowOff>584200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AF76655-10C7-6440-82E6-E56424E1F2F5}"/>
            </a:ext>
          </a:extLst>
        </xdr:cNvPr>
        <xdr:cNvSpPr txBox="1"/>
      </xdr:nvSpPr>
      <xdr:spPr>
        <a:xfrm>
          <a:off x="546099" y="9728200"/>
          <a:ext cx="11557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1118151</xdr:colOff>
      <xdr:row>8</xdr:row>
      <xdr:rowOff>219212</xdr:rowOff>
    </xdr:from>
    <xdr:to>
      <xdr:col>4</xdr:col>
      <xdr:colOff>1214781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642716" y="4595190"/>
          <a:ext cx="5038587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13805</xdr:colOff>
      <xdr:row>12</xdr:row>
      <xdr:rowOff>221419</xdr:rowOff>
    </xdr:from>
    <xdr:to>
      <xdr:col>2</xdr:col>
      <xdr:colOff>1187174</xdr:colOff>
      <xdr:row>12</xdr:row>
      <xdr:rowOff>565976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38370" y="7137397"/>
          <a:ext cx="1173369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1187175</xdr:colOff>
      <xdr:row>12</xdr:row>
      <xdr:rowOff>221974</xdr:rowOff>
    </xdr:from>
    <xdr:to>
      <xdr:col>4</xdr:col>
      <xdr:colOff>1173370</xdr:colOff>
      <xdr:row>12</xdr:row>
      <xdr:rowOff>567082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711740" y="7137952"/>
          <a:ext cx="4928152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1104348</xdr:colOff>
      <xdr:row>10</xdr:row>
      <xdr:rowOff>302591</xdr:rowOff>
    </xdr:from>
    <xdr:to>
      <xdr:col>5</xdr:col>
      <xdr:colOff>1187174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099891" y="5948569"/>
          <a:ext cx="5024783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14355</xdr:colOff>
      <xdr:row>10</xdr:row>
      <xdr:rowOff>302592</xdr:rowOff>
    </xdr:from>
    <xdr:to>
      <xdr:col>3</xdr:col>
      <xdr:colOff>1104348</xdr:colOff>
      <xdr:row>10</xdr:row>
      <xdr:rowOff>649358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8920" y="5948570"/>
          <a:ext cx="3560971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1131957</xdr:colOff>
      <xdr:row>14</xdr:row>
      <xdr:rowOff>248479</xdr:rowOff>
    </xdr:from>
    <xdr:to>
      <xdr:col>5</xdr:col>
      <xdr:colOff>1173369</xdr:colOff>
      <xdr:row>14</xdr:row>
      <xdr:rowOff>595245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127500" y="8434457"/>
          <a:ext cx="4983369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13805</xdr:colOff>
      <xdr:row>14</xdr:row>
      <xdr:rowOff>249581</xdr:rowOff>
    </xdr:from>
    <xdr:to>
      <xdr:col>3</xdr:col>
      <xdr:colOff>1131957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38370" y="8435559"/>
          <a:ext cx="358913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234674</xdr:rowOff>
    </xdr:from>
    <xdr:to>
      <xdr:col>3</xdr:col>
      <xdr:colOff>1118153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4565" y="3340652"/>
          <a:ext cx="3589131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1200978</xdr:colOff>
      <xdr:row>8</xdr:row>
      <xdr:rowOff>223081</xdr:rowOff>
    </xdr:from>
    <xdr:to>
      <xdr:col>6</xdr:col>
      <xdr:colOff>1173370</xdr:colOff>
      <xdr:row>8</xdr:row>
      <xdr:rowOff>568189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F3A24C-B3D8-E54E-BF3D-D7293A0932C7}"/>
            </a:ext>
          </a:extLst>
        </xdr:cNvPr>
        <xdr:cNvSpPr txBox="1"/>
      </xdr:nvSpPr>
      <xdr:spPr>
        <a:xfrm>
          <a:off x="6667500" y="4599059"/>
          <a:ext cx="4914348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1118152</xdr:colOff>
      <xdr:row>6</xdr:row>
      <xdr:rowOff>233569</xdr:rowOff>
    </xdr:from>
    <xdr:to>
      <xdr:col>5</xdr:col>
      <xdr:colOff>1214782</xdr:colOff>
      <xdr:row>6</xdr:row>
      <xdr:rowOff>580335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0B83-B09C-DB48-9DB1-C515F3C022DD}"/>
            </a:ext>
          </a:extLst>
        </xdr:cNvPr>
        <xdr:cNvSpPr txBox="1"/>
      </xdr:nvSpPr>
      <xdr:spPr>
        <a:xfrm>
          <a:off x="4113695" y="3339547"/>
          <a:ext cx="503858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</xdr:colOff>
      <xdr:row>8</xdr:row>
      <xdr:rowOff>219213</xdr:rowOff>
    </xdr:from>
    <xdr:to>
      <xdr:col>2</xdr:col>
      <xdr:colOff>1118153</xdr:colOff>
      <xdr:row>8</xdr:row>
      <xdr:rowOff>565979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B59930-9F22-C14F-85BA-9805EA2D0D3A}"/>
            </a:ext>
          </a:extLst>
        </xdr:cNvPr>
        <xdr:cNvSpPr txBox="1"/>
      </xdr:nvSpPr>
      <xdr:spPr>
        <a:xfrm>
          <a:off x="524566" y="4595191"/>
          <a:ext cx="111815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1159565</xdr:colOff>
      <xdr:row>16</xdr:row>
      <xdr:rowOff>291546</xdr:rowOff>
    </xdr:from>
    <xdr:to>
      <xdr:col>4</xdr:col>
      <xdr:colOff>1200978</xdr:colOff>
      <xdr:row>16</xdr:row>
      <xdr:rowOff>636103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A94E0-B372-D24A-B5A5-AA9460D1939D}"/>
            </a:ext>
          </a:extLst>
        </xdr:cNvPr>
        <xdr:cNvSpPr txBox="1"/>
      </xdr:nvSpPr>
      <xdr:spPr>
        <a:xfrm>
          <a:off x="1684130" y="9747524"/>
          <a:ext cx="498337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1200977</xdr:colOff>
      <xdr:row>16</xdr:row>
      <xdr:rowOff>292102</xdr:rowOff>
    </xdr:from>
    <xdr:to>
      <xdr:col>6</xdr:col>
      <xdr:colOff>1173370</xdr:colOff>
      <xdr:row>16</xdr:row>
      <xdr:rowOff>637210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C042C05-5BDC-8A45-AD01-C2709C5F0CC7}"/>
            </a:ext>
          </a:extLst>
        </xdr:cNvPr>
        <xdr:cNvSpPr txBox="1"/>
      </xdr:nvSpPr>
      <xdr:spPr>
        <a:xfrm>
          <a:off x="6667499" y="9748080"/>
          <a:ext cx="4914349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1256195</xdr:colOff>
      <xdr:row>6</xdr:row>
      <xdr:rowOff>233569</xdr:rowOff>
    </xdr:from>
    <xdr:to>
      <xdr:col>8</xdr:col>
      <xdr:colOff>2457174</xdr:colOff>
      <xdr:row>6</xdr:row>
      <xdr:rowOff>580335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6B46AC-CB95-5746-BAD4-5EE0D96CDF69}"/>
            </a:ext>
          </a:extLst>
        </xdr:cNvPr>
        <xdr:cNvSpPr txBox="1"/>
      </xdr:nvSpPr>
      <xdr:spPr>
        <a:xfrm>
          <a:off x="14135652" y="3339547"/>
          <a:ext cx="367195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1215334</xdr:colOff>
      <xdr:row>6</xdr:row>
      <xdr:rowOff>235227</xdr:rowOff>
    </xdr:from>
    <xdr:to>
      <xdr:col>7</xdr:col>
      <xdr:colOff>1256195</xdr:colOff>
      <xdr:row>6</xdr:row>
      <xdr:rowOff>579784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6A5CAA8-2FE7-464F-8D4B-04FE045BB6F2}"/>
            </a:ext>
          </a:extLst>
        </xdr:cNvPr>
        <xdr:cNvSpPr txBox="1"/>
      </xdr:nvSpPr>
      <xdr:spPr>
        <a:xfrm>
          <a:off x="9152834" y="3341205"/>
          <a:ext cx="498281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1173921</xdr:colOff>
      <xdr:row>8</xdr:row>
      <xdr:rowOff>219764</xdr:rowOff>
    </xdr:from>
    <xdr:to>
      <xdr:col>8</xdr:col>
      <xdr:colOff>1270551</xdr:colOff>
      <xdr:row>8</xdr:row>
      <xdr:rowOff>566531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EC372A-A378-A643-9E65-52E97659B5A2}"/>
            </a:ext>
          </a:extLst>
        </xdr:cNvPr>
        <xdr:cNvSpPr txBox="1"/>
      </xdr:nvSpPr>
      <xdr:spPr>
        <a:xfrm>
          <a:off x="11582399" y="4595742"/>
          <a:ext cx="5038587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8</xdr:col>
      <xdr:colOff>1270000</xdr:colOff>
      <xdr:row>8</xdr:row>
      <xdr:rowOff>220317</xdr:rowOff>
    </xdr:from>
    <xdr:to>
      <xdr:col>9</xdr:col>
      <xdr:colOff>0</xdr:colOff>
      <xdr:row>8</xdr:row>
      <xdr:rowOff>567083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F0E8A4-48C5-9442-9174-47AC0B3C6336}"/>
            </a:ext>
          </a:extLst>
        </xdr:cNvPr>
        <xdr:cNvSpPr txBox="1"/>
      </xdr:nvSpPr>
      <xdr:spPr>
        <a:xfrm>
          <a:off x="16620435" y="4596295"/>
          <a:ext cx="1200978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1187726</xdr:colOff>
      <xdr:row>10</xdr:row>
      <xdr:rowOff>306459</xdr:rowOff>
    </xdr:from>
    <xdr:to>
      <xdr:col>7</xdr:col>
      <xdr:colOff>1160117</xdr:colOff>
      <xdr:row>10</xdr:row>
      <xdr:rowOff>651567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6524009-9A70-774A-B69C-ABCB0D02B496}"/>
            </a:ext>
          </a:extLst>
        </xdr:cNvPr>
        <xdr:cNvSpPr txBox="1"/>
      </xdr:nvSpPr>
      <xdr:spPr>
        <a:xfrm>
          <a:off x="9125226" y="5952437"/>
          <a:ext cx="4914348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1146312</xdr:colOff>
      <xdr:row>10</xdr:row>
      <xdr:rowOff>304248</xdr:rowOff>
    </xdr:from>
    <xdr:to>
      <xdr:col>8</xdr:col>
      <xdr:colOff>2457174</xdr:colOff>
      <xdr:row>10</xdr:row>
      <xdr:rowOff>648805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4EE99E5-56BA-7A4A-A007-F31B4D5E9455}"/>
            </a:ext>
          </a:extLst>
        </xdr:cNvPr>
        <xdr:cNvSpPr txBox="1"/>
      </xdr:nvSpPr>
      <xdr:spPr>
        <a:xfrm>
          <a:off x="14025769" y="5950226"/>
          <a:ext cx="378184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1173921</xdr:colOff>
      <xdr:row>12</xdr:row>
      <xdr:rowOff>220317</xdr:rowOff>
    </xdr:from>
    <xdr:to>
      <xdr:col>6</xdr:col>
      <xdr:colOff>1173370</xdr:colOff>
      <xdr:row>12</xdr:row>
      <xdr:rowOff>567084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B8543F8-C663-B346-9D90-F49F822D72FA}"/>
            </a:ext>
          </a:extLst>
        </xdr:cNvPr>
        <xdr:cNvSpPr txBox="1"/>
      </xdr:nvSpPr>
      <xdr:spPr>
        <a:xfrm>
          <a:off x="6640443" y="7136295"/>
          <a:ext cx="4941405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6</xdr:col>
      <xdr:colOff>1174474</xdr:colOff>
      <xdr:row>12</xdr:row>
      <xdr:rowOff>224185</xdr:rowOff>
    </xdr:from>
    <xdr:to>
      <xdr:col>8</xdr:col>
      <xdr:colOff>1146865</xdr:colOff>
      <xdr:row>12</xdr:row>
      <xdr:rowOff>569293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70D0C8B-135C-9A47-805A-5D014BC7189C}"/>
            </a:ext>
          </a:extLst>
        </xdr:cNvPr>
        <xdr:cNvSpPr txBox="1"/>
      </xdr:nvSpPr>
      <xdr:spPr>
        <a:xfrm>
          <a:off x="11582952" y="7140163"/>
          <a:ext cx="4914348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1146313</xdr:colOff>
      <xdr:row>12</xdr:row>
      <xdr:rowOff>221971</xdr:rowOff>
    </xdr:from>
    <xdr:to>
      <xdr:col>9</xdr:col>
      <xdr:colOff>13804</xdr:colOff>
      <xdr:row>12</xdr:row>
      <xdr:rowOff>566528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96BF41F-4EC0-3E42-9A1E-0DA88BCCFA73}"/>
            </a:ext>
          </a:extLst>
        </xdr:cNvPr>
        <xdr:cNvSpPr txBox="1"/>
      </xdr:nvSpPr>
      <xdr:spPr>
        <a:xfrm>
          <a:off x="16496748" y="7137949"/>
          <a:ext cx="1338469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1160669</xdr:colOff>
      <xdr:row>14</xdr:row>
      <xdr:rowOff>248478</xdr:rowOff>
    </xdr:from>
    <xdr:to>
      <xdr:col>7</xdr:col>
      <xdr:colOff>1160117</xdr:colOff>
      <xdr:row>14</xdr:row>
      <xdr:rowOff>595245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6E4C2CE-0802-DD42-BF8E-227E94CAC4FE}"/>
            </a:ext>
          </a:extLst>
        </xdr:cNvPr>
        <xdr:cNvSpPr txBox="1"/>
      </xdr:nvSpPr>
      <xdr:spPr>
        <a:xfrm>
          <a:off x="9098169" y="8434456"/>
          <a:ext cx="4941405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7</xdr:col>
      <xdr:colOff>1160117</xdr:colOff>
      <xdr:row>14</xdr:row>
      <xdr:rowOff>247925</xdr:rowOff>
    </xdr:from>
    <xdr:to>
      <xdr:col>9</xdr:col>
      <xdr:colOff>0</xdr:colOff>
      <xdr:row>14</xdr:row>
      <xdr:rowOff>594691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CC15ABD-9726-4E48-B0D1-5F84E3014A7A}"/>
            </a:ext>
          </a:extLst>
        </xdr:cNvPr>
        <xdr:cNvSpPr txBox="1"/>
      </xdr:nvSpPr>
      <xdr:spPr>
        <a:xfrm>
          <a:off x="14039574" y="8433903"/>
          <a:ext cx="3781839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1160117</xdr:colOff>
      <xdr:row>14</xdr:row>
      <xdr:rowOff>247925</xdr:rowOff>
    </xdr:from>
    <xdr:to>
      <xdr:col>9</xdr:col>
      <xdr:colOff>0</xdr:colOff>
      <xdr:row>14</xdr:row>
      <xdr:rowOff>594691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8B614C-79F0-5C4D-89BE-69846966F467}"/>
            </a:ext>
          </a:extLst>
        </xdr:cNvPr>
        <xdr:cNvSpPr txBox="1"/>
      </xdr:nvSpPr>
      <xdr:spPr>
        <a:xfrm>
          <a:off x="14039574" y="8433903"/>
          <a:ext cx="3781839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8</xdr:col>
      <xdr:colOff>1159564</xdr:colOff>
      <xdr:row>16</xdr:row>
      <xdr:rowOff>289337</xdr:rowOff>
    </xdr:from>
    <xdr:to>
      <xdr:col>9</xdr:col>
      <xdr:colOff>13803</xdr:colOff>
      <xdr:row>16</xdr:row>
      <xdr:rowOff>636103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72CBB27-5F40-CB4D-BED6-B6E0CCD03AC0}"/>
            </a:ext>
          </a:extLst>
        </xdr:cNvPr>
        <xdr:cNvSpPr txBox="1"/>
      </xdr:nvSpPr>
      <xdr:spPr>
        <a:xfrm>
          <a:off x="16509999" y="9745315"/>
          <a:ext cx="132521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1175026</xdr:colOff>
      <xdr:row>16</xdr:row>
      <xdr:rowOff>290443</xdr:rowOff>
    </xdr:from>
    <xdr:to>
      <xdr:col>8</xdr:col>
      <xdr:colOff>1174474</xdr:colOff>
      <xdr:row>16</xdr:row>
      <xdr:rowOff>637210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698B686-70EC-D04C-B9B7-C5246B2E256B}"/>
            </a:ext>
          </a:extLst>
        </xdr:cNvPr>
        <xdr:cNvSpPr txBox="1"/>
      </xdr:nvSpPr>
      <xdr:spPr>
        <a:xfrm>
          <a:off x="11583504" y="9746421"/>
          <a:ext cx="4941405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41966</xdr:colOff>
      <xdr:row>16</xdr:row>
      <xdr:rowOff>288787</xdr:rowOff>
    </xdr:from>
    <xdr:to>
      <xdr:col>2</xdr:col>
      <xdr:colOff>1160118</xdr:colOff>
      <xdr:row>16</xdr:row>
      <xdr:rowOff>635553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8049DA-38A6-D140-A45A-4C72FD7DCC35}"/>
            </a:ext>
          </a:extLst>
        </xdr:cNvPr>
        <xdr:cNvSpPr txBox="1"/>
      </xdr:nvSpPr>
      <xdr:spPr>
        <a:xfrm>
          <a:off x="566531" y="9744765"/>
          <a:ext cx="111815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177800</xdr:rowOff>
    </xdr:from>
    <xdr:to>
      <xdr:col>3</xdr:col>
      <xdr:colOff>1168400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33400" y="32893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1168400</xdr:colOff>
      <xdr:row>8</xdr:row>
      <xdr:rowOff>190500</xdr:rowOff>
    </xdr:from>
    <xdr:to>
      <xdr:col>4</xdr:col>
      <xdr:colOff>1181100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701800" y="45720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1181101</xdr:colOff>
      <xdr:row>12</xdr:row>
      <xdr:rowOff>177800</xdr:rowOff>
    </xdr:from>
    <xdr:to>
      <xdr:col>4</xdr:col>
      <xdr:colOff>1181101</xdr:colOff>
      <xdr:row>12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14501" y="709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5</xdr:col>
      <xdr:colOff>1181100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52600" y="5829300"/>
          <a:ext cx="739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177800</xdr:rowOff>
    </xdr:from>
    <xdr:to>
      <xdr:col>2</xdr:col>
      <xdr:colOff>1168400</xdr:colOff>
      <xdr:row>12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58800" y="7099300"/>
          <a:ext cx="114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1066800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46100" y="8369300"/>
          <a:ext cx="353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1193801</xdr:colOff>
      <xdr:row>8</xdr:row>
      <xdr:rowOff>190500</xdr:rowOff>
    </xdr:from>
    <xdr:to>
      <xdr:col>6</xdr:col>
      <xdr:colOff>1193801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5E1495-6AC8-E24E-8FFD-7451B4BD29CA}"/>
            </a:ext>
          </a:extLst>
        </xdr:cNvPr>
        <xdr:cNvSpPr txBox="1"/>
      </xdr:nvSpPr>
      <xdr:spPr>
        <a:xfrm>
          <a:off x="6680201" y="45720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90E654-4B91-F749-8F2D-EAB12BA66551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1168400</xdr:colOff>
      <xdr:row>6</xdr:row>
      <xdr:rowOff>177800</xdr:rowOff>
    </xdr:from>
    <xdr:to>
      <xdr:col>5</xdr:col>
      <xdr:colOff>1155700</xdr:colOff>
      <xdr:row>6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212A38-8205-C94D-9620-3749736229A3}"/>
            </a:ext>
          </a:extLst>
        </xdr:cNvPr>
        <xdr:cNvSpPr txBox="1"/>
      </xdr:nvSpPr>
      <xdr:spPr>
        <a:xfrm>
          <a:off x="4178300" y="3289300"/>
          <a:ext cx="494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D85DF7-C1F2-6C4C-8E09-62C226EF6EDF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1066800</xdr:colOff>
      <xdr:row>14</xdr:row>
      <xdr:rowOff>177800</xdr:rowOff>
    </xdr:from>
    <xdr:to>
      <xdr:col>5</xdr:col>
      <xdr:colOff>1193800</xdr:colOff>
      <xdr:row>14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337ECAC-B96B-494A-9303-DF4BEEA66E1E}"/>
            </a:ext>
          </a:extLst>
        </xdr:cNvPr>
        <xdr:cNvSpPr txBox="1"/>
      </xdr:nvSpPr>
      <xdr:spPr>
        <a:xfrm>
          <a:off x="4076700" y="8369300"/>
          <a:ext cx="5080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1168401</xdr:colOff>
      <xdr:row>16</xdr:row>
      <xdr:rowOff>190500</xdr:rowOff>
    </xdr:from>
    <xdr:to>
      <xdr:col>6</xdr:col>
      <xdr:colOff>1155700</xdr:colOff>
      <xdr:row>16</xdr:row>
      <xdr:rowOff>508000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C26E37-DBB5-6B45-85A8-2F9722920D15}"/>
            </a:ext>
          </a:extLst>
        </xdr:cNvPr>
        <xdr:cNvSpPr txBox="1"/>
      </xdr:nvSpPr>
      <xdr:spPr>
        <a:xfrm>
          <a:off x="6654801" y="9652000"/>
          <a:ext cx="4940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16</xdr:row>
      <xdr:rowOff>190500</xdr:rowOff>
    </xdr:from>
    <xdr:to>
      <xdr:col>4</xdr:col>
      <xdr:colOff>1181100</xdr:colOff>
      <xdr:row>16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B9E840-7788-B048-B35E-7A9F886A3A0B}"/>
            </a:ext>
          </a:extLst>
        </xdr:cNvPr>
        <xdr:cNvSpPr txBox="1"/>
      </xdr:nvSpPr>
      <xdr:spPr>
        <a:xfrm>
          <a:off x="1714500" y="96520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6</xdr:row>
      <xdr:rowOff>177800</xdr:rowOff>
    </xdr:from>
    <xdr:to>
      <xdr:col>7</xdr:col>
      <xdr:colOff>1231900</xdr:colOff>
      <xdr:row>6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540B5C-86B7-7248-9CE3-4E8849D5FD92}"/>
            </a:ext>
          </a:extLst>
        </xdr:cNvPr>
        <xdr:cNvSpPr txBox="1"/>
      </xdr:nvSpPr>
      <xdr:spPr>
        <a:xfrm>
          <a:off x="9118600" y="32893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1231901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5597BD-EBEA-F240-A68F-2CA330AEDC6F}"/>
            </a:ext>
          </a:extLst>
        </xdr:cNvPr>
        <xdr:cNvSpPr txBox="1"/>
      </xdr:nvSpPr>
      <xdr:spPr>
        <a:xfrm>
          <a:off x="14147801" y="3289300"/>
          <a:ext cx="37210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2</xdr:col>
      <xdr:colOff>1168400</xdr:colOff>
      <xdr:row>8</xdr:row>
      <xdr:rowOff>508000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FE1609-424B-DE42-AE0E-30ABF5D5F436}"/>
            </a:ext>
          </a:extLst>
        </xdr:cNvPr>
        <xdr:cNvSpPr txBox="1"/>
      </xdr:nvSpPr>
      <xdr:spPr>
        <a:xfrm>
          <a:off x="558800" y="4572000"/>
          <a:ext cx="114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8</xdr:row>
      <xdr:rowOff>190500</xdr:rowOff>
    </xdr:from>
    <xdr:to>
      <xdr:col>8</xdr:col>
      <xdr:colOff>1219200</xdr:colOff>
      <xdr:row>8</xdr:row>
      <xdr:rowOff>508000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F94160D-73A2-7445-99E8-476CD9ABFBAB}"/>
            </a:ext>
          </a:extLst>
        </xdr:cNvPr>
        <xdr:cNvSpPr txBox="1"/>
      </xdr:nvSpPr>
      <xdr:spPr>
        <a:xfrm>
          <a:off x="11645900" y="45720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1231900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EC5930F-2BC6-E243-B9AA-7AB3CD0E9CA5}"/>
            </a:ext>
          </a:extLst>
        </xdr:cNvPr>
        <xdr:cNvSpPr txBox="1"/>
      </xdr:nvSpPr>
      <xdr:spPr>
        <a:xfrm>
          <a:off x="16624300" y="4572000"/>
          <a:ext cx="1244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1181101</xdr:colOff>
      <xdr:row>10</xdr:row>
      <xdr:rowOff>177800</xdr:rowOff>
    </xdr:from>
    <xdr:to>
      <xdr:col>7</xdr:col>
      <xdr:colOff>1181101</xdr:colOff>
      <xdr:row>10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E530027-4C13-B04C-87FC-5E8F3B84C54A}"/>
            </a:ext>
          </a:extLst>
        </xdr:cNvPr>
        <xdr:cNvSpPr txBox="1"/>
      </xdr:nvSpPr>
      <xdr:spPr>
        <a:xfrm>
          <a:off x="9144001" y="582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1D04E7F-9E53-1D47-9779-A99053DB8AAB}"/>
            </a:ext>
          </a:extLst>
        </xdr:cNvPr>
        <xdr:cNvSpPr txBox="1"/>
      </xdr:nvSpPr>
      <xdr:spPr>
        <a:xfrm>
          <a:off x="14109700" y="58293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177800</xdr:rowOff>
    </xdr:from>
    <xdr:to>
      <xdr:col>6</xdr:col>
      <xdr:colOff>1181100</xdr:colOff>
      <xdr:row>12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F5586B7-8395-A849-AD30-904C6EABA536}"/>
            </a:ext>
          </a:extLst>
        </xdr:cNvPr>
        <xdr:cNvSpPr txBox="1"/>
      </xdr:nvSpPr>
      <xdr:spPr>
        <a:xfrm>
          <a:off x="6680200" y="709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1193801</xdr:colOff>
      <xdr:row>12</xdr:row>
      <xdr:rowOff>177800</xdr:rowOff>
    </xdr:from>
    <xdr:to>
      <xdr:col>8</xdr:col>
      <xdr:colOff>1193801</xdr:colOff>
      <xdr:row>12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75FDB64-DAEB-134F-A443-6D8ED87D3C3F}"/>
            </a:ext>
          </a:extLst>
        </xdr:cNvPr>
        <xdr:cNvSpPr txBox="1"/>
      </xdr:nvSpPr>
      <xdr:spPr>
        <a:xfrm>
          <a:off x="11633201" y="70993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1206500</xdr:colOff>
      <xdr:row>12</xdr:row>
      <xdr:rowOff>177800</xdr:rowOff>
    </xdr:from>
    <xdr:to>
      <xdr:col>9</xdr:col>
      <xdr:colOff>0</xdr:colOff>
      <xdr:row>12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55F8099-284F-7D4C-8CF6-7566086D45D3}"/>
            </a:ext>
          </a:extLst>
        </xdr:cNvPr>
        <xdr:cNvSpPr txBox="1"/>
      </xdr:nvSpPr>
      <xdr:spPr>
        <a:xfrm>
          <a:off x="16598900" y="7099300"/>
          <a:ext cx="127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14</xdr:row>
      <xdr:rowOff>177800</xdr:rowOff>
    </xdr:from>
    <xdr:to>
      <xdr:col>7</xdr:col>
      <xdr:colOff>1181100</xdr:colOff>
      <xdr:row>14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E427CE-3C90-8E41-8DB0-0B974CD056C8}"/>
            </a:ext>
          </a:extLst>
        </xdr:cNvPr>
        <xdr:cNvSpPr txBox="1"/>
      </xdr:nvSpPr>
      <xdr:spPr>
        <a:xfrm>
          <a:off x="9156700" y="83693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1193801</xdr:colOff>
      <xdr:row>14</xdr:row>
      <xdr:rowOff>177800</xdr:rowOff>
    </xdr:from>
    <xdr:to>
      <xdr:col>9</xdr:col>
      <xdr:colOff>12700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CB3A2B4-CA4E-8B48-AE1D-F0A9B34DB191}"/>
            </a:ext>
          </a:extLst>
        </xdr:cNvPr>
        <xdr:cNvSpPr txBox="1"/>
      </xdr:nvSpPr>
      <xdr:spPr>
        <a:xfrm>
          <a:off x="14109701" y="8369300"/>
          <a:ext cx="37718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1168400</xdr:colOff>
      <xdr:row>16</xdr:row>
      <xdr:rowOff>190500</xdr:rowOff>
    </xdr:from>
    <xdr:to>
      <xdr:col>8</xdr:col>
      <xdr:colOff>1155700</xdr:colOff>
      <xdr:row>16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720EA6C-354C-DF49-BB32-2CD69B7750CE}"/>
            </a:ext>
          </a:extLst>
        </xdr:cNvPr>
        <xdr:cNvSpPr txBox="1"/>
      </xdr:nvSpPr>
      <xdr:spPr>
        <a:xfrm>
          <a:off x="11607800" y="96520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190500</xdr:rowOff>
    </xdr:from>
    <xdr:to>
      <xdr:col>2</xdr:col>
      <xdr:colOff>1168400</xdr:colOff>
      <xdr:row>16</xdr:row>
      <xdr:rowOff>508000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9EA470A-2815-BA46-B645-8D3B3C4F3602}"/>
            </a:ext>
          </a:extLst>
        </xdr:cNvPr>
        <xdr:cNvSpPr txBox="1"/>
      </xdr:nvSpPr>
      <xdr:spPr>
        <a:xfrm>
          <a:off x="558800" y="9652000"/>
          <a:ext cx="114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1155700</xdr:colOff>
      <xdr:row>16</xdr:row>
      <xdr:rowOff>190500</xdr:rowOff>
    </xdr:from>
    <xdr:to>
      <xdr:col>8</xdr:col>
      <xdr:colOff>2463800</xdr:colOff>
      <xdr:row>16</xdr:row>
      <xdr:rowOff>508000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0BDC35D-DB92-414A-83FA-8448497CC871}"/>
            </a:ext>
          </a:extLst>
        </xdr:cNvPr>
        <xdr:cNvSpPr txBox="1"/>
      </xdr:nvSpPr>
      <xdr:spPr>
        <a:xfrm>
          <a:off x="16548100" y="9652000"/>
          <a:ext cx="1308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1206500</xdr:colOff>
      <xdr:row>6</xdr:row>
      <xdr:rowOff>241300</xdr:rowOff>
    </xdr:from>
    <xdr:to>
      <xdr:col>6</xdr:col>
      <xdr:colOff>1231900</xdr:colOff>
      <xdr:row>6</xdr:row>
      <xdr:rowOff>558800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6692900" y="33528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190500</xdr:rowOff>
    </xdr:from>
    <xdr:to>
      <xdr:col>5</xdr:col>
      <xdr:colOff>1193800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4254500" y="45720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3</xdr:col>
      <xdr:colOff>1257299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33400" y="45720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1219200</xdr:colOff>
      <xdr:row>12</xdr:row>
      <xdr:rowOff>215900</xdr:rowOff>
    </xdr:from>
    <xdr:to>
      <xdr:col>5</xdr:col>
      <xdr:colOff>1117600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229100" y="7137400"/>
          <a:ext cx="485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16</xdr:row>
      <xdr:rowOff>241300</xdr:rowOff>
    </xdr:from>
    <xdr:to>
      <xdr:col>3</xdr:col>
      <xdr:colOff>1181100</xdr:colOff>
      <xdr:row>16</xdr:row>
      <xdr:rowOff>558799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800" y="97028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203200</xdr:rowOff>
    </xdr:from>
    <xdr:to>
      <xdr:col>2</xdr:col>
      <xdr:colOff>1257300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6100" y="58547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1130300</xdr:colOff>
      <xdr:row>12</xdr:row>
      <xdr:rowOff>215900</xdr:rowOff>
    </xdr:from>
    <xdr:to>
      <xdr:col>7</xdr:col>
      <xdr:colOff>1104900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093200" y="7137400"/>
          <a:ext cx="492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228600</xdr:rowOff>
    </xdr:from>
    <xdr:to>
      <xdr:col>4</xdr:col>
      <xdr:colOff>1219200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803400" y="84201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10</xdr:row>
      <xdr:rowOff>203201</xdr:rowOff>
    </xdr:from>
    <xdr:to>
      <xdr:col>4</xdr:col>
      <xdr:colOff>1168400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778000" y="5854701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14</xdr:row>
      <xdr:rowOff>228601</xdr:rowOff>
    </xdr:from>
    <xdr:to>
      <xdr:col>6</xdr:col>
      <xdr:colOff>1079500</xdr:colOff>
      <xdr:row>14</xdr:row>
      <xdr:rowOff>546101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705600" y="8420101"/>
          <a:ext cx="481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1282700</xdr:colOff>
      <xdr:row>6</xdr:row>
      <xdr:rowOff>241300</xdr:rowOff>
    </xdr:from>
    <xdr:to>
      <xdr:col>4</xdr:col>
      <xdr:colOff>1206500</xdr:colOff>
      <xdr:row>6</xdr:row>
      <xdr:rowOff>558800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1C9458-8918-5A48-B416-C978C36F8C0A}"/>
            </a:ext>
          </a:extLst>
        </xdr:cNvPr>
        <xdr:cNvSpPr txBox="1"/>
      </xdr:nvSpPr>
      <xdr:spPr>
        <a:xfrm>
          <a:off x="1816100" y="33528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16</xdr:row>
      <xdr:rowOff>241300</xdr:rowOff>
    </xdr:from>
    <xdr:to>
      <xdr:col>5</xdr:col>
      <xdr:colOff>1117600</xdr:colOff>
      <xdr:row>16</xdr:row>
      <xdr:rowOff>558800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19DDBB-81CE-8642-996B-BEB36AED80E4}"/>
            </a:ext>
          </a:extLst>
        </xdr:cNvPr>
        <xdr:cNvSpPr txBox="1"/>
      </xdr:nvSpPr>
      <xdr:spPr>
        <a:xfrm>
          <a:off x="4191000" y="97028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241300</xdr:rowOff>
    </xdr:from>
    <xdr:to>
      <xdr:col>2</xdr:col>
      <xdr:colOff>1269999</xdr:colOff>
      <xdr:row>6</xdr:row>
      <xdr:rowOff>558799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7CC783-DE10-CC42-86E0-59627871F435}"/>
            </a:ext>
          </a:extLst>
        </xdr:cNvPr>
        <xdr:cNvSpPr txBox="1"/>
      </xdr:nvSpPr>
      <xdr:spPr>
        <a:xfrm>
          <a:off x="533400" y="3352800"/>
          <a:ext cx="12699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1244600</xdr:colOff>
      <xdr:row>6</xdr:row>
      <xdr:rowOff>241300</xdr:rowOff>
    </xdr:from>
    <xdr:to>
      <xdr:col>8</xdr:col>
      <xdr:colOff>1168400</xdr:colOff>
      <xdr:row>6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3EB8F4-3896-EF46-AE48-BC944EAA175F}"/>
            </a:ext>
          </a:extLst>
        </xdr:cNvPr>
        <xdr:cNvSpPr txBox="1"/>
      </xdr:nvSpPr>
      <xdr:spPr>
        <a:xfrm>
          <a:off x="11684000" y="33528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1181100</xdr:colOff>
      <xdr:row>6</xdr:row>
      <xdr:rowOff>241300</xdr:rowOff>
    </xdr:from>
    <xdr:to>
      <xdr:col>8</xdr:col>
      <xdr:colOff>2476499</xdr:colOff>
      <xdr:row>6</xdr:row>
      <xdr:rowOff>558799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F55022-5507-4A4A-BC36-ED196C0510FD}"/>
            </a:ext>
          </a:extLst>
        </xdr:cNvPr>
        <xdr:cNvSpPr txBox="1"/>
      </xdr:nvSpPr>
      <xdr:spPr>
        <a:xfrm>
          <a:off x="16573500" y="3352800"/>
          <a:ext cx="12953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1193800</xdr:colOff>
      <xdr:row>8</xdr:row>
      <xdr:rowOff>190500</xdr:rowOff>
    </xdr:from>
    <xdr:to>
      <xdr:col>7</xdr:col>
      <xdr:colOff>1155700</xdr:colOff>
      <xdr:row>8</xdr:row>
      <xdr:rowOff>508000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EF9C866-56FE-DA41-884A-8457EC6B57E8}"/>
            </a:ext>
          </a:extLst>
        </xdr:cNvPr>
        <xdr:cNvSpPr txBox="1"/>
      </xdr:nvSpPr>
      <xdr:spPr>
        <a:xfrm>
          <a:off x="9156700" y="4572000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FBB0C11-8BA0-494B-AF6A-2D4C23F7F31D}"/>
            </a:ext>
          </a:extLst>
        </xdr:cNvPr>
        <xdr:cNvSpPr txBox="1"/>
      </xdr:nvSpPr>
      <xdr:spPr>
        <a:xfrm>
          <a:off x="14084300" y="4572000"/>
          <a:ext cx="378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10</xdr:row>
      <xdr:rowOff>203200</xdr:rowOff>
    </xdr:from>
    <xdr:to>
      <xdr:col>6</xdr:col>
      <xdr:colOff>1117600</xdr:colOff>
      <xdr:row>10</xdr:row>
      <xdr:rowOff>520700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6476AB4-0B80-1B47-8143-A7A9D6CE1D2C}"/>
            </a:ext>
          </a:extLst>
        </xdr:cNvPr>
        <xdr:cNvSpPr txBox="1"/>
      </xdr:nvSpPr>
      <xdr:spPr>
        <a:xfrm>
          <a:off x="6654800" y="58547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1130300</xdr:colOff>
      <xdr:row>10</xdr:row>
      <xdr:rowOff>203200</xdr:rowOff>
    </xdr:from>
    <xdr:to>
      <xdr:col>8</xdr:col>
      <xdr:colOff>1130300</xdr:colOff>
      <xdr:row>10</xdr:row>
      <xdr:rowOff>520700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AC62012-F9D6-0E48-8883-73E9F680AE9E}"/>
            </a:ext>
          </a:extLst>
        </xdr:cNvPr>
        <xdr:cNvSpPr txBox="1"/>
      </xdr:nvSpPr>
      <xdr:spPr>
        <a:xfrm>
          <a:off x="11569700" y="58547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1143000</xdr:colOff>
      <xdr:row>10</xdr:row>
      <xdr:rowOff>203200</xdr:rowOff>
    </xdr:from>
    <xdr:to>
      <xdr:col>8</xdr:col>
      <xdr:colOff>2463800</xdr:colOff>
      <xdr:row>10</xdr:row>
      <xdr:rowOff>520700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1D4BB11-DFBB-A949-9337-E8D625700069}"/>
            </a:ext>
          </a:extLst>
        </xdr:cNvPr>
        <xdr:cNvSpPr txBox="1"/>
      </xdr:nvSpPr>
      <xdr:spPr>
        <a:xfrm>
          <a:off x="16535400" y="5854700"/>
          <a:ext cx="132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3</xdr:col>
      <xdr:colOff>1219200</xdr:colOff>
      <xdr:row>12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4DC601-4F82-A144-A472-9E0944EF0C70}"/>
            </a:ext>
          </a:extLst>
        </xdr:cNvPr>
        <xdr:cNvSpPr txBox="1"/>
      </xdr:nvSpPr>
      <xdr:spPr>
        <a:xfrm>
          <a:off x="533400" y="7137400"/>
          <a:ext cx="369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1092200</xdr:colOff>
      <xdr:row>12</xdr:row>
      <xdr:rowOff>215900</xdr:rowOff>
    </xdr:from>
    <xdr:to>
      <xdr:col>8</xdr:col>
      <xdr:colOff>2463800</xdr:colOff>
      <xdr:row>12</xdr:row>
      <xdr:rowOff>533399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6940CCC-1BF7-AF4C-B363-8E1CEC857E08}"/>
            </a:ext>
          </a:extLst>
        </xdr:cNvPr>
        <xdr:cNvSpPr txBox="1"/>
      </xdr:nvSpPr>
      <xdr:spPr>
        <a:xfrm>
          <a:off x="14008100" y="7137400"/>
          <a:ext cx="3848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14</xdr:row>
      <xdr:rowOff>228600</xdr:rowOff>
    </xdr:from>
    <xdr:to>
      <xdr:col>2</xdr:col>
      <xdr:colOff>1269999</xdr:colOff>
      <xdr:row>14</xdr:row>
      <xdr:rowOff>546099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917176D-E5F9-644D-BDEF-735F73F72626}"/>
            </a:ext>
          </a:extLst>
        </xdr:cNvPr>
        <xdr:cNvSpPr txBox="1"/>
      </xdr:nvSpPr>
      <xdr:spPr>
        <a:xfrm>
          <a:off x="533400" y="8420100"/>
          <a:ext cx="12699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1092200</xdr:colOff>
      <xdr:row>14</xdr:row>
      <xdr:rowOff>228600</xdr:rowOff>
    </xdr:from>
    <xdr:to>
      <xdr:col>8</xdr:col>
      <xdr:colOff>1041400</xdr:colOff>
      <xdr:row>14</xdr:row>
      <xdr:rowOff>546100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F2A7200-F388-7B41-841F-20B3BF2B1968}"/>
            </a:ext>
          </a:extLst>
        </xdr:cNvPr>
        <xdr:cNvSpPr txBox="1"/>
      </xdr:nvSpPr>
      <xdr:spPr>
        <a:xfrm>
          <a:off x="11531600" y="84201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1039159</xdr:colOff>
      <xdr:row>14</xdr:row>
      <xdr:rowOff>226359</xdr:rowOff>
    </xdr:from>
    <xdr:to>
      <xdr:col>9</xdr:col>
      <xdr:colOff>14942</xdr:colOff>
      <xdr:row>14</xdr:row>
      <xdr:rowOff>540123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4F44B0B-9D96-2043-BB59-1F0CD9568237}"/>
            </a:ext>
          </a:extLst>
        </xdr:cNvPr>
        <xdr:cNvSpPr txBox="1"/>
      </xdr:nvSpPr>
      <xdr:spPr>
        <a:xfrm>
          <a:off x="16431559" y="8417859"/>
          <a:ext cx="1452283" cy="3137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1117600</xdr:colOff>
      <xdr:row>16</xdr:row>
      <xdr:rowOff>241301</xdr:rowOff>
    </xdr:from>
    <xdr:to>
      <xdr:col>7</xdr:col>
      <xdr:colOff>1168400</xdr:colOff>
      <xdr:row>16</xdr:row>
      <xdr:rowOff>558801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7B08860-C3F7-1649-B773-74DD9026F383}"/>
            </a:ext>
          </a:extLst>
        </xdr:cNvPr>
        <xdr:cNvSpPr txBox="1"/>
      </xdr:nvSpPr>
      <xdr:spPr>
        <a:xfrm>
          <a:off x="9080500" y="9702801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16</xdr:row>
      <xdr:rowOff>241300</xdr:rowOff>
    </xdr:from>
    <xdr:to>
      <xdr:col>9</xdr:col>
      <xdr:colOff>25400</xdr:colOff>
      <xdr:row>16</xdr:row>
      <xdr:rowOff>558800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73BBE55-B70B-8C4D-804B-93AB84129B6F}"/>
            </a:ext>
          </a:extLst>
        </xdr:cNvPr>
        <xdr:cNvSpPr txBox="1"/>
      </xdr:nvSpPr>
      <xdr:spPr>
        <a:xfrm>
          <a:off x="14071600" y="9702800"/>
          <a:ext cx="382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1358900</xdr:colOff>
      <xdr:row>6</xdr:row>
      <xdr:rowOff>215900</xdr:rowOff>
    </xdr:from>
    <xdr:to>
      <xdr:col>4</xdr:col>
      <xdr:colOff>1206500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892300" y="3327400"/>
          <a:ext cx="480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1206501</xdr:colOff>
      <xdr:row>6</xdr:row>
      <xdr:rowOff>215900</xdr:rowOff>
    </xdr:from>
    <xdr:to>
      <xdr:col>6</xdr:col>
      <xdr:colOff>1244601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692901" y="33274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1308099</xdr:colOff>
      <xdr:row>10</xdr:row>
      <xdr:rowOff>215900</xdr:rowOff>
    </xdr:from>
    <xdr:to>
      <xdr:col>4</xdr:col>
      <xdr:colOff>1130300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841499" y="5867400"/>
          <a:ext cx="4775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228600</xdr:rowOff>
    </xdr:from>
    <xdr:to>
      <xdr:col>5</xdr:col>
      <xdr:colOff>1270000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92600" y="46101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3</xdr:col>
      <xdr:colOff>1181100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58800" y="7137400"/>
          <a:ext cx="363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2</xdr:col>
      <xdr:colOff>1295400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46100" y="5867400"/>
          <a:ext cx="128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215900</xdr:rowOff>
    </xdr:from>
    <xdr:to>
      <xdr:col>5</xdr:col>
      <xdr:colOff>1244600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4178300" y="7137400"/>
          <a:ext cx="502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1295400</xdr:colOff>
      <xdr:row>14</xdr:row>
      <xdr:rowOff>190500</xdr:rowOff>
    </xdr:from>
    <xdr:to>
      <xdr:col>4</xdr:col>
      <xdr:colOff>1054100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828800" y="8382000"/>
          <a:ext cx="471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228600</xdr:rowOff>
    </xdr:from>
    <xdr:to>
      <xdr:col>3</xdr:col>
      <xdr:colOff>1269999</xdr:colOff>
      <xdr:row>8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2DEC41-9A8F-4F47-A64B-C108396A456D}"/>
            </a:ext>
          </a:extLst>
        </xdr:cNvPr>
        <xdr:cNvSpPr txBox="1"/>
      </xdr:nvSpPr>
      <xdr:spPr>
        <a:xfrm>
          <a:off x="558800" y="4610100"/>
          <a:ext cx="37210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1054100</xdr:colOff>
      <xdr:row>14</xdr:row>
      <xdr:rowOff>190500</xdr:rowOff>
    </xdr:from>
    <xdr:to>
      <xdr:col>6</xdr:col>
      <xdr:colOff>1092200</xdr:colOff>
      <xdr:row>14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BF7BD3-6393-CD41-A1CE-06D7F1435DF4}"/>
            </a:ext>
          </a:extLst>
        </xdr:cNvPr>
        <xdr:cNvSpPr txBox="1"/>
      </xdr:nvSpPr>
      <xdr:spPr>
        <a:xfrm>
          <a:off x="6540500" y="83820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16</xdr:row>
      <xdr:rowOff>215900</xdr:rowOff>
    </xdr:from>
    <xdr:to>
      <xdr:col>5</xdr:col>
      <xdr:colOff>1130300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AFA058-630F-754D-995A-84F629729AFD}"/>
            </a:ext>
          </a:extLst>
        </xdr:cNvPr>
        <xdr:cNvSpPr txBox="1"/>
      </xdr:nvSpPr>
      <xdr:spPr>
        <a:xfrm>
          <a:off x="4241800" y="96774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1230795</xdr:colOff>
      <xdr:row>16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BAC7429-8656-F843-B9B1-4EFD5DA327D7}"/>
            </a:ext>
          </a:extLst>
        </xdr:cNvPr>
        <xdr:cNvSpPr txBox="1"/>
      </xdr:nvSpPr>
      <xdr:spPr>
        <a:xfrm>
          <a:off x="546100" y="967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6</xdr:row>
      <xdr:rowOff>215900</xdr:rowOff>
    </xdr:from>
    <xdr:to>
      <xdr:col>2</xdr:col>
      <xdr:colOff>1358899</xdr:colOff>
      <xdr:row>6</xdr:row>
      <xdr:rowOff>533399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E8D760-233A-FF40-923D-C0B872BA7858}"/>
            </a:ext>
          </a:extLst>
        </xdr:cNvPr>
        <xdr:cNvSpPr txBox="1"/>
      </xdr:nvSpPr>
      <xdr:spPr>
        <a:xfrm>
          <a:off x="520700" y="3327400"/>
          <a:ext cx="1371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1257300</xdr:colOff>
      <xdr:row>6</xdr:row>
      <xdr:rowOff>215900</xdr:rowOff>
    </xdr:from>
    <xdr:to>
      <xdr:col>8</xdr:col>
      <xdr:colOff>1193800</xdr:colOff>
      <xdr:row>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ED8957-9B5F-B841-B995-5BC8030F1F62}"/>
            </a:ext>
          </a:extLst>
        </xdr:cNvPr>
        <xdr:cNvSpPr txBox="1"/>
      </xdr:nvSpPr>
      <xdr:spPr>
        <a:xfrm>
          <a:off x="11696700" y="3327400"/>
          <a:ext cx="488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1193801</xdr:colOff>
      <xdr:row>6</xdr:row>
      <xdr:rowOff>215900</xdr:rowOff>
    </xdr:from>
    <xdr:to>
      <xdr:col>8</xdr:col>
      <xdr:colOff>2463800</xdr:colOff>
      <xdr:row>6</xdr:row>
      <xdr:rowOff>533399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6A6E3B1-449A-9848-89B1-57CA00884D92}"/>
            </a:ext>
          </a:extLst>
        </xdr:cNvPr>
        <xdr:cNvSpPr txBox="1"/>
      </xdr:nvSpPr>
      <xdr:spPr>
        <a:xfrm>
          <a:off x="16586201" y="3327400"/>
          <a:ext cx="12699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1282701</xdr:colOff>
      <xdr:row>8</xdr:row>
      <xdr:rowOff>228600</xdr:rowOff>
    </xdr:from>
    <xdr:to>
      <xdr:col>7</xdr:col>
      <xdr:colOff>1143000</xdr:colOff>
      <xdr:row>8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2AD5093-755B-8543-86FD-EAC330D162A5}"/>
            </a:ext>
          </a:extLst>
        </xdr:cNvPr>
        <xdr:cNvSpPr txBox="1"/>
      </xdr:nvSpPr>
      <xdr:spPr>
        <a:xfrm>
          <a:off x="9245601" y="4610100"/>
          <a:ext cx="4813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8</xdr:row>
      <xdr:rowOff>228600</xdr:rowOff>
    </xdr:from>
    <xdr:to>
      <xdr:col>9</xdr:col>
      <xdr:colOff>12700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85BBC07-4437-4C45-85A8-88BBB020E9C9}"/>
            </a:ext>
          </a:extLst>
        </xdr:cNvPr>
        <xdr:cNvSpPr txBox="1"/>
      </xdr:nvSpPr>
      <xdr:spPr>
        <a:xfrm>
          <a:off x="14071600" y="4610100"/>
          <a:ext cx="381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1130300</xdr:colOff>
      <xdr:row>10</xdr:row>
      <xdr:rowOff>215900</xdr:rowOff>
    </xdr:from>
    <xdr:to>
      <xdr:col>6</xdr:col>
      <xdr:colOff>1117600</xdr:colOff>
      <xdr:row>10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BB97A92-CCBF-2A4F-9348-879B1E731FD6}"/>
            </a:ext>
          </a:extLst>
        </xdr:cNvPr>
        <xdr:cNvSpPr txBox="1"/>
      </xdr:nvSpPr>
      <xdr:spPr>
        <a:xfrm>
          <a:off x="6616700" y="5867400"/>
          <a:ext cx="494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1104901</xdr:colOff>
      <xdr:row>10</xdr:row>
      <xdr:rowOff>215900</xdr:rowOff>
    </xdr:from>
    <xdr:to>
      <xdr:col>8</xdr:col>
      <xdr:colOff>1041400</xdr:colOff>
      <xdr:row>10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3779367-C299-BD47-9A54-7F8F21D14BAF}"/>
            </a:ext>
          </a:extLst>
        </xdr:cNvPr>
        <xdr:cNvSpPr txBox="1"/>
      </xdr:nvSpPr>
      <xdr:spPr>
        <a:xfrm>
          <a:off x="11544301" y="5867400"/>
          <a:ext cx="48894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1041400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50255FC-E980-EF44-920C-0F7E730402BF}"/>
            </a:ext>
          </a:extLst>
        </xdr:cNvPr>
        <xdr:cNvSpPr txBox="1"/>
      </xdr:nvSpPr>
      <xdr:spPr>
        <a:xfrm>
          <a:off x="16433800" y="5867400"/>
          <a:ext cx="1422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12</xdr:row>
      <xdr:rowOff>215900</xdr:rowOff>
    </xdr:from>
    <xdr:to>
      <xdr:col>7</xdr:col>
      <xdr:colOff>1168400</xdr:colOff>
      <xdr:row>12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430E227-54BA-844A-9EE2-9E3ACF47D5D5}"/>
            </a:ext>
          </a:extLst>
        </xdr:cNvPr>
        <xdr:cNvSpPr txBox="1"/>
      </xdr:nvSpPr>
      <xdr:spPr>
        <a:xfrm>
          <a:off x="9207500" y="713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12</xdr:row>
      <xdr:rowOff>215900</xdr:rowOff>
    </xdr:from>
    <xdr:to>
      <xdr:col>9</xdr:col>
      <xdr:colOff>12700</xdr:colOff>
      <xdr:row>12</xdr:row>
      <xdr:rowOff>533399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4DA96A9-7D05-5945-B822-7EB6DAF170A2}"/>
            </a:ext>
          </a:extLst>
        </xdr:cNvPr>
        <xdr:cNvSpPr txBox="1"/>
      </xdr:nvSpPr>
      <xdr:spPr>
        <a:xfrm>
          <a:off x="14097000" y="7137400"/>
          <a:ext cx="3784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190500</xdr:rowOff>
    </xdr:from>
    <xdr:to>
      <xdr:col>2</xdr:col>
      <xdr:colOff>1295399</xdr:colOff>
      <xdr:row>14</xdr:row>
      <xdr:rowOff>507999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724A573-4009-834A-96B3-627F18D32DCE}"/>
            </a:ext>
          </a:extLst>
        </xdr:cNvPr>
        <xdr:cNvSpPr txBox="1"/>
      </xdr:nvSpPr>
      <xdr:spPr>
        <a:xfrm>
          <a:off x="546100" y="8382000"/>
          <a:ext cx="1282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1104900</xdr:colOff>
      <xdr:row>14</xdr:row>
      <xdr:rowOff>190500</xdr:rowOff>
    </xdr:from>
    <xdr:to>
      <xdr:col>8</xdr:col>
      <xdr:colOff>1117600</xdr:colOff>
      <xdr:row>14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9480E9C-F194-F449-AD69-9E5A51BF9C55}"/>
            </a:ext>
          </a:extLst>
        </xdr:cNvPr>
        <xdr:cNvSpPr txBox="1"/>
      </xdr:nvSpPr>
      <xdr:spPr>
        <a:xfrm>
          <a:off x="11544300" y="83820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1117601</xdr:colOff>
      <xdr:row>14</xdr:row>
      <xdr:rowOff>190500</xdr:rowOff>
    </xdr:from>
    <xdr:to>
      <xdr:col>8</xdr:col>
      <xdr:colOff>2463800</xdr:colOff>
      <xdr:row>14</xdr:row>
      <xdr:rowOff>507999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766F8F4-6CDF-1C4E-91E4-DBB712659497}"/>
            </a:ext>
          </a:extLst>
        </xdr:cNvPr>
        <xdr:cNvSpPr txBox="1"/>
      </xdr:nvSpPr>
      <xdr:spPr>
        <a:xfrm>
          <a:off x="16510001" y="8382000"/>
          <a:ext cx="13461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1117600</xdr:colOff>
      <xdr:row>16</xdr:row>
      <xdr:rowOff>215900</xdr:rowOff>
    </xdr:from>
    <xdr:to>
      <xdr:col>7</xdr:col>
      <xdr:colOff>1155700</xdr:colOff>
      <xdr:row>16</xdr:row>
      <xdr:rowOff>533400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B0BA877-E7E6-A049-BE44-C1CAA1A3E387}"/>
            </a:ext>
          </a:extLst>
        </xdr:cNvPr>
        <xdr:cNvSpPr txBox="1"/>
      </xdr:nvSpPr>
      <xdr:spPr>
        <a:xfrm>
          <a:off x="9080500" y="96774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E24131A-31A7-5247-9CC9-0B974667D811}"/>
            </a:ext>
          </a:extLst>
        </xdr:cNvPr>
        <xdr:cNvSpPr txBox="1"/>
      </xdr:nvSpPr>
      <xdr:spPr>
        <a:xfrm>
          <a:off x="14071600" y="9677400"/>
          <a:ext cx="381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1168400</xdr:colOff>
      <xdr:row>10</xdr:row>
      <xdr:rowOff>228600</xdr:rowOff>
    </xdr:from>
    <xdr:to>
      <xdr:col>5</xdr:col>
      <xdr:colOff>1181100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4178300" y="5880100"/>
          <a:ext cx="496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1168400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46100" y="842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8</xdr:row>
      <xdr:rowOff>228600</xdr:rowOff>
    </xdr:from>
    <xdr:to>
      <xdr:col>2</xdr:col>
      <xdr:colOff>1308100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33400" y="4610100"/>
          <a:ext cx="1308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1168400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46100" y="5880100"/>
          <a:ext cx="363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1320800</xdr:colOff>
      <xdr:row>12</xdr:row>
      <xdr:rowOff>228600</xdr:rowOff>
    </xdr:from>
    <xdr:to>
      <xdr:col>4</xdr:col>
      <xdr:colOff>1181100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854200" y="7150100"/>
          <a:ext cx="481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228600</xdr:rowOff>
    </xdr:from>
    <xdr:to>
      <xdr:col>5</xdr:col>
      <xdr:colOff>1168400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4165600" y="84201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254000</xdr:rowOff>
    </xdr:from>
    <xdr:to>
      <xdr:col>5</xdr:col>
      <xdr:colOff>1193800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241800" y="33655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1193801</xdr:colOff>
      <xdr:row>12</xdr:row>
      <xdr:rowOff>228600</xdr:rowOff>
    </xdr:from>
    <xdr:to>
      <xdr:col>6</xdr:col>
      <xdr:colOff>1155700</xdr:colOff>
      <xdr:row>12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680201" y="7150100"/>
          <a:ext cx="49148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1308099</xdr:colOff>
      <xdr:row>8</xdr:row>
      <xdr:rowOff>228600</xdr:rowOff>
    </xdr:from>
    <xdr:to>
      <xdr:col>4</xdr:col>
      <xdr:colOff>1143000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841499" y="4610100"/>
          <a:ext cx="47879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254000</xdr:rowOff>
    </xdr:from>
    <xdr:to>
      <xdr:col>3</xdr:col>
      <xdr:colOff>1244600</xdr:colOff>
      <xdr:row>6</xdr:row>
      <xdr:rowOff>571499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72711-741F-BF42-8DC3-BCB8B69E05BD}"/>
            </a:ext>
          </a:extLst>
        </xdr:cNvPr>
        <xdr:cNvSpPr txBox="1"/>
      </xdr:nvSpPr>
      <xdr:spPr>
        <a:xfrm>
          <a:off x="546100" y="33655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16</xdr:row>
      <xdr:rowOff>215900</xdr:rowOff>
    </xdr:from>
    <xdr:to>
      <xdr:col>2</xdr:col>
      <xdr:colOff>1143000</xdr:colOff>
      <xdr:row>16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3A0E6D-CDEF-2049-AE73-BC7300E2148B}"/>
            </a:ext>
          </a:extLst>
        </xdr:cNvPr>
        <xdr:cNvSpPr txBox="1"/>
      </xdr:nvSpPr>
      <xdr:spPr>
        <a:xfrm>
          <a:off x="533400" y="9677400"/>
          <a:ext cx="114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1130301</xdr:colOff>
      <xdr:row>16</xdr:row>
      <xdr:rowOff>215900</xdr:rowOff>
    </xdr:from>
    <xdr:to>
      <xdr:col>4</xdr:col>
      <xdr:colOff>1155701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3D19DE8-2FB8-9D4A-B49E-830A2A2A0597}"/>
            </a:ext>
          </a:extLst>
        </xdr:cNvPr>
        <xdr:cNvSpPr txBox="1"/>
      </xdr:nvSpPr>
      <xdr:spPr>
        <a:xfrm>
          <a:off x="1663701" y="967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1193801</xdr:colOff>
      <xdr:row>6</xdr:row>
      <xdr:rowOff>254000</xdr:rowOff>
    </xdr:from>
    <xdr:to>
      <xdr:col>7</xdr:col>
      <xdr:colOff>1181100</xdr:colOff>
      <xdr:row>6</xdr:row>
      <xdr:rowOff>571500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A6D10F-2517-6D45-8DBF-EC6BAE5B2BEE}"/>
            </a:ext>
          </a:extLst>
        </xdr:cNvPr>
        <xdr:cNvSpPr txBox="1"/>
      </xdr:nvSpPr>
      <xdr:spPr>
        <a:xfrm>
          <a:off x="9156701" y="3365500"/>
          <a:ext cx="4940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6</xdr:row>
      <xdr:rowOff>254000</xdr:rowOff>
    </xdr:from>
    <xdr:to>
      <xdr:col>9</xdr:col>
      <xdr:colOff>0</xdr:colOff>
      <xdr:row>6</xdr:row>
      <xdr:rowOff>571500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9384E0-876E-894D-A09F-4A7384CDE1F0}"/>
            </a:ext>
          </a:extLst>
        </xdr:cNvPr>
        <xdr:cNvSpPr txBox="1"/>
      </xdr:nvSpPr>
      <xdr:spPr>
        <a:xfrm>
          <a:off x="14097000" y="3365500"/>
          <a:ext cx="377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1143000</xdr:colOff>
      <xdr:row>8</xdr:row>
      <xdr:rowOff>228600</xdr:rowOff>
    </xdr:from>
    <xdr:to>
      <xdr:col>6</xdr:col>
      <xdr:colOff>1155700</xdr:colOff>
      <xdr:row>8</xdr:row>
      <xdr:rowOff>546100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C0C1F7-D2CA-A64D-8561-108F63E376D9}"/>
            </a:ext>
          </a:extLst>
        </xdr:cNvPr>
        <xdr:cNvSpPr txBox="1"/>
      </xdr:nvSpPr>
      <xdr:spPr>
        <a:xfrm>
          <a:off x="6629400" y="46101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6</xdr:col>
      <xdr:colOff>1155701</xdr:colOff>
      <xdr:row>8</xdr:row>
      <xdr:rowOff>228600</xdr:rowOff>
    </xdr:from>
    <xdr:to>
      <xdr:col>8</xdr:col>
      <xdr:colOff>1143000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38A0EB-047F-7B42-B42D-A899449CD5DD}"/>
            </a:ext>
          </a:extLst>
        </xdr:cNvPr>
        <xdr:cNvSpPr txBox="1"/>
      </xdr:nvSpPr>
      <xdr:spPr>
        <a:xfrm>
          <a:off x="11595101" y="4610100"/>
          <a:ext cx="4940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1155700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477780-773A-584D-8B16-BE70ED31D3E1}"/>
            </a:ext>
          </a:extLst>
        </xdr:cNvPr>
        <xdr:cNvSpPr txBox="1"/>
      </xdr:nvSpPr>
      <xdr:spPr>
        <a:xfrm>
          <a:off x="16548100" y="4610100"/>
          <a:ext cx="132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10</xdr:row>
      <xdr:rowOff>228600</xdr:rowOff>
    </xdr:from>
    <xdr:to>
      <xdr:col>7</xdr:col>
      <xdr:colOff>1193800</xdr:colOff>
      <xdr:row>10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BC4F33C-478A-5E48-AD49-A1DED12DB9BB}"/>
            </a:ext>
          </a:extLst>
        </xdr:cNvPr>
        <xdr:cNvSpPr txBox="1"/>
      </xdr:nvSpPr>
      <xdr:spPr>
        <a:xfrm>
          <a:off x="9144000" y="58801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1206500</xdr:colOff>
      <xdr:row>10</xdr:row>
      <xdr:rowOff>228600</xdr:rowOff>
    </xdr:from>
    <xdr:to>
      <xdr:col>9</xdr:col>
      <xdr:colOff>0</xdr:colOff>
      <xdr:row>10</xdr:row>
      <xdr:rowOff>546099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783A695-EB6C-E944-A74B-CDC90BFDE9C5}"/>
            </a:ext>
          </a:extLst>
        </xdr:cNvPr>
        <xdr:cNvSpPr txBox="1"/>
      </xdr:nvSpPr>
      <xdr:spPr>
        <a:xfrm>
          <a:off x="14122400" y="5880100"/>
          <a:ext cx="374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2</xdr:col>
      <xdr:colOff>1333500</xdr:colOff>
      <xdr:row>12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4B0A575-F095-6B41-B7EE-ABEB9E5C9633}"/>
            </a:ext>
          </a:extLst>
        </xdr:cNvPr>
        <xdr:cNvSpPr txBox="1"/>
      </xdr:nvSpPr>
      <xdr:spPr>
        <a:xfrm>
          <a:off x="546100" y="7150100"/>
          <a:ext cx="1320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1155700</xdr:colOff>
      <xdr:row>12</xdr:row>
      <xdr:rowOff>228600</xdr:rowOff>
    </xdr:from>
    <xdr:to>
      <xdr:col>8</xdr:col>
      <xdr:colOff>1168400</xdr:colOff>
      <xdr:row>12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BBCAB0-3ACC-6943-AB5A-F2546F98B6CF}"/>
            </a:ext>
          </a:extLst>
        </xdr:cNvPr>
        <xdr:cNvSpPr txBox="1"/>
      </xdr:nvSpPr>
      <xdr:spPr>
        <a:xfrm>
          <a:off x="11595100" y="71501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8</xdr:col>
      <xdr:colOff>1181100</xdr:colOff>
      <xdr:row>12</xdr:row>
      <xdr:rowOff>228600</xdr:rowOff>
    </xdr:from>
    <xdr:to>
      <xdr:col>9</xdr:col>
      <xdr:colOff>25400</xdr:colOff>
      <xdr:row>12</xdr:row>
      <xdr:rowOff>546099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F2F6A3-6801-F941-9A9C-D5A4345D080A}"/>
            </a:ext>
          </a:extLst>
        </xdr:cNvPr>
        <xdr:cNvSpPr txBox="1"/>
      </xdr:nvSpPr>
      <xdr:spPr>
        <a:xfrm>
          <a:off x="16573500" y="7150100"/>
          <a:ext cx="1320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1143001</xdr:colOff>
      <xdr:row>14</xdr:row>
      <xdr:rowOff>228600</xdr:rowOff>
    </xdr:from>
    <xdr:to>
      <xdr:col>7</xdr:col>
      <xdr:colOff>1130300</xdr:colOff>
      <xdr:row>14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9001A6F-14EC-2C4B-B173-BB66B2408F3D}"/>
            </a:ext>
          </a:extLst>
        </xdr:cNvPr>
        <xdr:cNvSpPr txBox="1"/>
      </xdr:nvSpPr>
      <xdr:spPr>
        <a:xfrm>
          <a:off x="9105901" y="8420100"/>
          <a:ext cx="4940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1130300</xdr:colOff>
      <xdr:row>14</xdr:row>
      <xdr:rowOff>228600</xdr:rowOff>
    </xdr:from>
    <xdr:to>
      <xdr:col>9</xdr:col>
      <xdr:colOff>12700</xdr:colOff>
      <xdr:row>14</xdr:row>
      <xdr:rowOff>546100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4502E74-72CB-6A40-B05F-84AB29B649B2}"/>
            </a:ext>
          </a:extLst>
        </xdr:cNvPr>
        <xdr:cNvSpPr txBox="1"/>
      </xdr:nvSpPr>
      <xdr:spPr>
        <a:xfrm>
          <a:off x="14046200" y="8420100"/>
          <a:ext cx="383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4</xdr:col>
      <xdr:colOff>1155700</xdr:colOff>
      <xdr:row>16</xdr:row>
      <xdr:rowOff>215900</xdr:rowOff>
    </xdr:from>
    <xdr:to>
      <xdr:col>6</xdr:col>
      <xdr:colOff>1168400</xdr:colOff>
      <xdr:row>16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CCCD7CD-117D-6349-91D4-F2F77167CA1E}"/>
            </a:ext>
          </a:extLst>
        </xdr:cNvPr>
        <xdr:cNvSpPr txBox="1"/>
      </xdr:nvSpPr>
      <xdr:spPr>
        <a:xfrm>
          <a:off x="6642100" y="96774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1155701</xdr:colOff>
      <xdr:row>16</xdr:row>
      <xdr:rowOff>215900</xdr:rowOff>
    </xdr:from>
    <xdr:to>
      <xdr:col>8</xdr:col>
      <xdr:colOff>1143000</xdr:colOff>
      <xdr:row>16</xdr:row>
      <xdr:rowOff>533400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737EA1A-878C-9243-B58C-FCB394C798F0}"/>
            </a:ext>
          </a:extLst>
        </xdr:cNvPr>
        <xdr:cNvSpPr txBox="1"/>
      </xdr:nvSpPr>
      <xdr:spPr>
        <a:xfrm>
          <a:off x="11595101" y="9677400"/>
          <a:ext cx="49402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1143000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77CA2C7-9AA9-5C4C-98E6-71A2ED2F0B4A}"/>
            </a:ext>
          </a:extLst>
        </xdr:cNvPr>
        <xdr:cNvSpPr txBox="1"/>
      </xdr:nvSpPr>
      <xdr:spPr>
        <a:xfrm>
          <a:off x="16535400" y="9677400"/>
          <a:ext cx="1346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1155700</xdr:colOff>
      <xdr:row>10</xdr:row>
      <xdr:rowOff>228600</xdr:rowOff>
    </xdr:from>
    <xdr:to>
      <xdr:col>5</xdr:col>
      <xdr:colOff>1104900</xdr:colOff>
      <xdr:row>10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165600" y="58801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1193800</xdr:colOff>
      <xdr:row>14</xdr:row>
      <xdr:rowOff>546099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46100" y="842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2</xdr:col>
      <xdr:colOff>1358900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46100" y="4610100"/>
          <a:ext cx="1346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228600</xdr:rowOff>
    </xdr:from>
    <xdr:to>
      <xdr:col>3</xdr:col>
      <xdr:colOff>1155700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533400" y="5880100"/>
          <a:ext cx="363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1333500</xdr:colOff>
      <xdr:row>12</xdr:row>
      <xdr:rowOff>228600</xdr:rowOff>
    </xdr:from>
    <xdr:to>
      <xdr:col>4</xdr:col>
      <xdr:colOff>1181100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866900" y="7150100"/>
          <a:ext cx="480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5</xdr:col>
      <xdr:colOff>1079500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203700" y="8420100"/>
          <a:ext cx="483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228600</xdr:rowOff>
    </xdr:from>
    <xdr:to>
      <xdr:col>2</xdr:col>
      <xdr:colOff>1257300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533400" y="9690100"/>
          <a:ext cx="125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1358900</xdr:colOff>
      <xdr:row>8</xdr:row>
      <xdr:rowOff>228600</xdr:rowOff>
    </xdr:from>
    <xdr:to>
      <xdr:col>4</xdr:col>
      <xdr:colOff>1155700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892300" y="4610100"/>
          <a:ext cx="4749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12</xdr:row>
      <xdr:rowOff>228600</xdr:rowOff>
    </xdr:from>
    <xdr:to>
      <xdr:col>6</xdr:col>
      <xdr:colOff>1270000</xdr:colOff>
      <xdr:row>12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6667500" y="71501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1257300</xdr:colOff>
      <xdr:row>16</xdr:row>
      <xdr:rowOff>228600</xdr:rowOff>
    </xdr:from>
    <xdr:to>
      <xdr:col>4</xdr:col>
      <xdr:colOff>1181100</xdr:colOff>
      <xdr:row>16</xdr:row>
      <xdr:rowOff>546100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025D4-852B-C841-8F3B-AFFAE33E1068}"/>
            </a:ext>
          </a:extLst>
        </xdr:cNvPr>
        <xdr:cNvSpPr txBox="1"/>
      </xdr:nvSpPr>
      <xdr:spPr>
        <a:xfrm>
          <a:off x="1790700" y="96901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3</xdr:col>
      <xdr:colOff>1104900</xdr:colOff>
      <xdr:row>6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4E7380-524A-ED4E-B089-258A58CB939C}"/>
            </a:ext>
          </a:extLst>
        </xdr:cNvPr>
        <xdr:cNvSpPr txBox="1"/>
      </xdr:nvSpPr>
      <xdr:spPr>
        <a:xfrm>
          <a:off x="546100" y="9690100"/>
          <a:ext cx="356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1104900</xdr:colOff>
      <xdr:row>6</xdr:row>
      <xdr:rowOff>228600</xdr:rowOff>
    </xdr:from>
    <xdr:to>
      <xdr:col>5</xdr:col>
      <xdr:colOff>1219200</xdr:colOff>
      <xdr:row>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8A285A-505C-EF4A-8A42-CF243E687B2D}"/>
            </a:ext>
          </a:extLst>
        </xdr:cNvPr>
        <xdr:cNvSpPr txBox="1"/>
      </xdr:nvSpPr>
      <xdr:spPr>
        <a:xfrm>
          <a:off x="4114800" y="33401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228600</xdr:rowOff>
    </xdr:from>
    <xdr:to>
      <xdr:col>7</xdr:col>
      <xdr:colOff>1206500</xdr:colOff>
      <xdr:row>6</xdr:row>
      <xdr:rowOff>546100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921724-787C-9647-85F4-D9CB2B801F4E}"/>
            </a:ext>
          </a:extLst>
        </xdr:cNvPr>
        <xdr:cNvSpPr txBox="1"/>
      </xdr:nvSpPr>
      <xdr:spPr>
        <a:xfrm>
          <a:off x="9169400" y="33401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228600</xdr:rowOff>
    </xdr:from>
    <xdr:to>
      <xdr:col>9</xdr:col>
      <xdr:colOff>12700</xdr:colOff>
      <xdr:row>6</xdr:row>
      <xdr:rowOff>546100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B2AF90-4EE7-D549-BE94-26AF211CADB8}"/>
            </a:ext>
          </a:extLst>
        </xdr:cNvPr>
        <xdr:cNvSpPr txBox="1"/>
      </xdr:nvSpPr>
      <xdr:spPr>
        <a:xfrm>
          <a:off x="14135100" y="33401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8</xdr:row>
      <xdr:rowOff>228600</xdr:rowOff>
    </xdr:from>
    <xdr:to>
      <xdr:col>6</xdr:col>
      <xdr:colOff>1282700</xdr:colOff>
      <xdr:row>8</xdr:row>
      <xdr:rowOff>546100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B8B57B-D2D6-234D-90A2-A86C35E2B9E0}"/>
            </a:ext>
          </a:extLst>
        </xdr:cNvPr>
        <xdr:cNvSpPr txBox="1"/>
      </xdr:nvSpPr>
      <xdr:spPr>
        <a:xfrm>
          <a:off x="6654800" y="46101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1295400</xdr:colOff>
      <xdr:row>8</xdr:row>
      <xdr:rowOff>228600</xdr:rowOff>
    </xdr:from>
    <xdr:to>
      <xdr:col>8</xdr:col>
      <xdr:colOff>1295400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A4543B-AC6A-504B-92E8-02B8474A7115}"/>
            </a:ext>
          </a:extLst>
        </xdr:cNvPr>
        <xdr:cNvSpPr txBox="1"/>
      </xdr:nvSpPr>
      <xdr:spPr>
        <a:xfrm>
          <a:off x="11734800" y="46101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1308100</xdr:colOff>
      <xdr:row>8</xdr:row>
      <xdr:rowOff>228600</xdr:rowOff>
    </xdr:from>
    <xdr:to>
      <xdr:col>9</xdr:col>
      <xdr:colOff>38100</xdr:colOff>
      <xdr:row>8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75547CF-1576-234A-92C3-1811822F89B4}"/>
            </a:ext>
          </a:extLst>
        </xdr:cNvPr>
        <xdr:cNvSpPr txBox="1"/>
      </xdr:nvSpPr>
      <xdr:spPr>
        <a:xfrm>
          <a:off x="16700500" y="4610100"/>
          <a:ext cx="120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1117600</xdr:colOff>
      <xdr:row>10</xdr:row>
      <xdr:rowOff>228600</xdr:rowOff>
    </xdr:from>
    <xdr:to>
      <xdr:col>7</xdr:col>
      <xdr:colOff>1231900</xdr:colOff>
      <xdr:row>10</xdr:row>
      <xdr:rowOff>546100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12248A-3946-7541-9258-E152461FFDAF}"/>
            </a:ext>
          </a:extLst>
        </xdr:cNvPr>
        <xdr:cNvSpPr txBox="1"/>
      </xdr:nvSpPr>
      <xdr:spPr>
        <a:xfrm>
          <a:off x="9080500" y="58801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228600</xdr:rowOff>
    </xdr:from>
    <xdr:to>
      <xdr:col>9</xdr:col>
      <xdr:colOff>0</xdr:colOff>
      <xdr:row>10</xdr:row>
      <xdr:rowOff>546099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8A8F107-750D-DE41-856C-A7D0098F3A69}"/>
            </a:ext>
          </a:extLst>
        </xdr:cNvPr>
        <xdr:cNvSpPr txBox="1"/>
      </xdr:nvSpPr>
      <xdr:spPr>
        <a:xfrm>
          <a:off x="14135100" y="5880100"/>
          <a:ext cx="373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2</xdr:col>
      <xdr:colOff>1333500</xdr:colOff>
      <xdr:row>12</xdr:row>
      <xdr:rowOff>546099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8CB6872-95A2-2D4F-BB06-8E2EB204BF17}"/>
            </a:ext>
          </a:extLst>
        </xdr:cNvPr>
        <xdr:cNvSpPr txBox="1"/>
      </xdr:nvSpPr>
      <xdr:spPr>
        <a:xfrm>
          <a:off x="546100" y="7150100"/>
          <a:ext cx="1320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1270000</xdr:colOff>
      <xdr:row>12</xdr:row>
      <xdr:rowOff>228600</xdr:rowOff>
    </xdr:from>
    <xdr:to>
      <xdr:col>8</xdr:col>
      <xdr:colOff>1117600</xdr:colOff>
      <xdr:row>12</xdr:row>
      <xdr:rowOff>546100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91F1683-3A3E-1E40-BF99-6CCE633EC9F5}"/>
            </a:ext>
          </a:extLst>
        </xdr:cNvPr>
        <xdr:cNvSpPr txBox="1"/>
      </xdr:nvSpPr>
      <xdr:spPr>
        <a:xfrm>
          <a:off x="11709400" y="7150100"/>
          <a:ext cx="480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1117600</xdr:colOff>
      <xdr:row>12</xdr:row>
      <xdr:rowOff>228600</xdr:rowOff>
    </xdr:from>
    <xdr:to>
      <xdr:col>9</xdr:col>
      <xdr:colOff>0</xdr:colOff>
      <xdr:row>12</xdr:row>
      <xdr:rowOff>546099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2EA775A-CFED-0540-9113-2AA0A62B089F}"/>
            </a:ext>
          </a:extLst>
        </xdr:cNvPr>
        <xdr:cNvSpPr txBox="1"/>
      </xdr:nvSpPr>
      <xdr:spPr>
        <a:xfrm>
          <a:off x="16510000" y="7150100"/>
          <a:ext cx="1358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1092200</xdr:colOff>
      <xdr:row>14</xdr:row>
      <xdr:rowOff>228600</xdr:rowOff>
    </xdr:from>
    <xdr:to>
      <xdr:col>7</xdr:col>
      <xdr:colOff>1181100</xdr:colOff>
      <xdr:row>14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13A737A-C008-934D-A312-2CF1B29633EE}"/>
            </a:ext>
          </a:extLst>
        </xdr:cNvPr>
        <xdr:cNvSpPr txBox="1"/>
      </xdr:nvSpPr>
      <xdr:spPr>
        <a:xfrm>
          <a:off x="9055100" y="84201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14</xdr:row>
      <xdr:rowOff>228600</xdr:rowOff>
    </xdr:from>
    <xdr:to>
      <xdr:col>9</xdr:col>
      <xdr:colOff>12700</xdr:colOff>
      <xdr:row>14</xdr:row>
      <xdr:rowOff>546100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E98BBB5-DAD1-D749-9A03-14CE8544EE8F}"/>
            </a:ext>
          </a:extLst>
        </xdr:cNvPr>
        <xdr:cNvSpPr txBox="1"/>
      </xdr:nvSpPr>
      <xdr:spPr>
        <a:xfrm>
          <a:off x="14109700" y="8420100"/>
          <a:ext cx="377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16</xdr:row>
      <xdr:rowOff>228600</xdr:rowOff>
    </xdr:from>
    <xdr:to>
      <xdr:col>6</xdr:col>
      <xdr:colOff>1193800</xdr:colOff>
      <xdr:row>16</xdr:row>
      <xdr:rowOff>546100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397F8D7-04C6-1F4E-9195-02BF8219467F}"/>
            </a:ext>
          </a:extLst>
        </xdr:cNvPr>
        <xdr:cNvSpPr txBox="1"/>
      </xdr:nvSpPr>
      <xdr:spPr>
        <a:xfrm>
          <a:off x="6667500" y="96901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16</xdr:row>
      <xdr:rowOff>228600</xdr:rowOff>
    </xdr:from>
    <xdr:to>
      <xdr:col>8</xdr:col>
      <xdr:colOff>1181100</xdr:colOff>
      <xdr:row>16</xdr:row>
      <xdr:rowOff>546100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BC1FC87-9219-7B4F-85D1-6F5787F151D3}"/>
            </a:ext>
          </a:extLst>
        </xdr:cNvPr>
        <xdr:cNvSpPr txBox="1"/>
      </xdr:nvSpPr>
      <xdr:spPr>
        <a:xfrm>
          <a:off x="11645900" y="96901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B71F808-FDC2-B942-BD4B-CEA8FCFDC7E3}"/>
            </a:ext>
          </a:extLst>
        </xdr:cNvPr>
        <xdr:cNvSpPr txBox="1"/>
      </xdr:nvSpPr>
      <xdr:spPr>
        <a:xfrm>
          <a:off x="16586200" y="9690100"/>
          <a:ext cx="128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1155700</xdr:colOff>
      <xdr:row>10</xdr:row>
      <xdr:rowOff>228600</xdr:rowOff>
    </xdr:from>
    <xdr:to>
      <xdr:col>5</xdr:col>
      <xdr:colOff>1206500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165600" y="5880100"/>
          <a:ext cx="500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1181100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46100" y="84201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1193800</xdr:colOff>
      <xdr:row>6</xdr:row>
      <xdr:rowOff>279400</xdr:rowOff>
    </xdr:from>
    <xdr:to>
      <xdr:col>5</xdr:col>
      <xdr:colOff>1231900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203700" y="3390900"/>
          <a:ext cx="499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2</xdr:col>
      <xdr:colOff>1244600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546100" y="4610100"/>
          <a:ext cx="123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1155700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546100" y="5880100"/>
          <a:ext cx="361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1168400</xdr:colOff>
      <xdr:row>12</xdr:row>
      <xdr:rowOff>228600</xdr:rowOff>
    </xdr:from>
    <xdr:to>
      <xdr:col>4</xdr:col>
      <xdr:colOff>1168400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701800" y="71501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5</xdr:col>
      <xdr:colOff>1143000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203700" y="84201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228600</xdr:rowOff>
    </xdr:from>
    <xdr:to>
      <xdr:col>4</xdr:col>
      <xdr:colOff>1143000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790700" y="4610100"/>
          <a:ext cx="483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228600</xdr:rowOff>
    </xdr:from>
    <xdr:to>
      <xdr:col>6</xdr:col>
      <xdr:colOff>1168400</xdr:colOff>
      <xdr:row>12</xdr:row>
      <xdr:rowOff>546100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6654800" y="71501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279400</xdr:rowOff>
    </xdr:from>
    <xdr:to>
      <xdr:col>3</xdr:col>
      <xdr:colOff>1181100</xdr:colOff>
      <xdr:row>6</xdr:row>
      <xdr:rowOff>596899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C964F1-838B-204E-9E5A-CF69A164C550}"/>
            </a:ext>
          </a:extLst>
        </xdr:cNvPr>
        <xdr:cNvSpPr txBox="1"/>
      </xdr:nvSpPr>
      <xdr:spPr>
        <a:xfrm>
          <a:off x="533400" y="33909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2</xdr:col>
      <xdr:colOff>1244600</xdr:colOff>
      <xdr:row>16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9189D3E-387D-D945-9279-CB7421133D2C}"/>
            </a:ext>
          </a:extLst>
        </xdr:cNvPr>
        <xdr:cNvSpPr txBox="1"/>
      </xdr:nvSpPr>
      <xdr:spPr>
        <a:xfrm>
          <a:off x="546100" y="9690100"/>
          <a:ext cx="123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16</xdr:row>
      <xdr:rowOff>228600</xdr:rowOff>
    </xdr:from>
    <xdr:to>
      <xdr:col>4</xdr:col>
      <xdr:colOff>1168400</xdr:colOff>
      <xdr:row>16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BA94EEA-35F4-B949-B412-CFA3A3BB0789}"/>
            </a:ext>
          </a:extLst>
        </xdr:cNvPr>
        <xdr:cNvSpPr txBox="1"/>
      </xdr:nvSpPr>
      <xdr:spPr>
        <a:xfrm>
          <a:off x="1778000" y="96901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6</xdr:row>
      <xdr:rowOff>279400</xdr:rowOff>
    </xdr:from>
    <xdr:to>
      <xdr:col>7</xdr:col>
      <xdr:colOff>1206500</xdr:colOff>
      <xdr:row>6</xdr:row>
      <xdr:rowOff>596900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D88545-70C5-CB4B-B657-B91EBEF3515E}"/>
            </a:ext>
          </a:extLst>
        </xdr:cNvPr>
        <xdr:cNvSpPr txBox="1"/>
      </xdr:nvSpPr>
      <xdr:spPr>
        <a:xfrm>
          <a:off x="9194800" y="33909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279400</xdr:rowOff>
    </xdr:from>
    <xdr:to>
      <xdr:col>9</xdr:col>
      <xdr:colOff>12700</xdr:colOff>
      <xdr:row>6</xdr:row>
      <xdr:rowOff>596900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40D359-7F12-C34A-A0C8-87EB9E07D58E}"/>
            </a:ext>
          </a:extLst>
        </xdr:cNvPr>
        <xdr:cNvSpPr txBox="1"/>
      </xdr:nvSpPr>
      <xdr:spPr>
        <a:xfrm>
          <a:off x="14122400" y="33909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8</xdr:row>
      <xdr:rowOff>228600</xdr:rowOff>
    </xdr:from>
    <xdr:to>
      <xdr:col>6</xdr:col>
      <xdr:colOff>1181100</xdr:colOff>
      <xdr:row>8</xdr:row>
      <xdr:rowOff>546100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F16B2A-4AF1-7F4C-98BA-1573E38C345B}"/>
            </a:ext>
          </a:extLst>
        </xdr:cNvPr>
        <xdr:cNvSpPr txBox="1"/>
      </xdr:nvSpPr>
      <xdr:spPr>
        <a:xfrm>
          <a:off x="6642100" y="46101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8</xdr:row>
      <xdr:rowOff>228600</xdr:rowOff>
    </xdr:from>
    <xdr:to>
      <xdr:col>8</xdr:col>
      <xdr:colOff>1155700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FF525D-82BE-9041-B25A-5E4A5B5703F3}"/>
            </a:ext>
          </a:extLst>
        </xdr:cNvPr>
        <xdr:cNvSpPr txBox="1"/>
      </xdr:nvSpPr>
      <xdr:spPr>
        <a:xfrm>
          <a:off x="11620500" y="46101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1155700</xdr:colOff>
      <xdr:row>8</xdr:row>
      <xdr:rowOff>228600</xdr:rowOff>
    </xdr:from>
    <xdr:to>
      <xdr:col>9</xdr:col>
      <xdr:colOff>12700</xdr:colOff>
      <xdr:row>8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3FEDD25-C87B-D44A-BC44-9F8DAB0A1B6D}"/>
            </a:ext>
          </a:extLst>
        </xdr:cNvPr>
        <xdr:cNvSpPr txBox="1"/>
      </xdr:nvSpPr>
      <xdr:spPr>
        <a:xfrm>
          <a:off x="16548100" y="4610100"/>
          <a:ext cx="133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10</xdr:row>
      <xdr:rowOff>228600</xdr:rowOff>
    </xdr:from>
    <xdr:to>
      <xdr:col>7</xdr:col>
      <xdr:colOff>1231900</xdr:colOff>
      <xdr:row>10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4DD7513-0488-FB47-AA7F-645EA01B198E}"/>
            </a:ext>
          </a:extLst>
        </xdr:cNvPr>
        <xdr:cNvSpPr txBox="1"/>
      </xdr:nvSpPr>
      <xdr:spPr>
        <a:xfrm>
          <a:off x="9169400" y="58801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10</xdr:row>
      <xdr:rowOff>228600</xdr:rowOff>
    </xdr:from>
    <xdr:to>
      <xdr:col>9</xdr:col>
      <xdr:colOff>12700</xdr:colOff>
      <xdr:row>10</xdr:row>
      <xdr:rowOff>546100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23D0944-97AC-BF49-8C65-C017F467F9F3}"/>
            </a:ext>
          </a:extLst>
        </xdr:cNvPr>
        <xdr:cNvSpPr txBox="1"/>
      </xdr:nvSpPr>
      <xdr:spPr>
        <a:xfrm>
          <a:off x="14160500" y="588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12</xdr:row>
      <xdr:rowOff>228600</xdr:rowOff>
    </xdr:from>
    <xdr:to>
      <xdr:col>2</xdr:col>
      <xdr:colOff>1181100</xdr:colOff>
      <xdr:row>12</xdr:row>
      <xdr:rowOff>546100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A96B3B7-1FFC-8F49-AC5B-370A4DDB4DE5}"/>
            </a:ext>
          </a:extLst>
        </xdr:cNvPr>
        <xdr:cNvSpPr txBox="1"/>
      </xdr:nvSpPr>
      <xdr:spPr>
        <a:xfrm>
          <a:off x="520700" y="7150100"/>
          <a:ext cx="119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1181100</xdr:colOff>
      <xdr:row>12</xdr:row>
      <xdr:rowOff>228600</xdr:rowOff>
    </xdr:from>
    <xdr:to>
      <xdr:col>8</xdr:col>
      <xdr:colOff>1206500</xdr:colOff>
      <xdr:row>12</xdr:row>
      <xdr:rowOff>546100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304AD90-9417-184F-A60C-3140CE75944C}"/>
            </a:ext>
          </a:extLst>
        </xdr:cNvPr>
        <xdr:cNvSpPr txBox="1"/>
      </xdr:nvSpPr>
      <xdr:spPr>
        <a:xfrm>
          <a:off x="11620500" y="71501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1206500</xdr:colOff>
      <xdr:row>12</xdr:row>
      <xdr:rowOff>228600</xdr:rowOff>
    </xdr:from>
    <xdr:to>
      <xdr:col>9</xdr:col>
      <xdr:colOff>0</xdr:colOff>
      <xdr:row>12</xdr:row>
      <xdr:rowOff>546100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2292378-7358-5F44-94A5-4DE806246057}"/>
            </a:ext>
          </a:extLst>
        </xdr:cNvPr>
        <xdr:cNvSpPr txBox="1"/>
      </xdr:nvSpPr>
      <xdr:spPr>
        <a:xfrm>
          <a:off x="16598900" y="7150100"/>
          <a:ext cx="1270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14</xdr:row>
      <xdr:rowOff>228600</xdr:rowOff>
    </xdr:from>
    <xdr:to>
      <xdr:col>7</xdr:col>
      <xdr:colOff>1155700</xdr:colOff>
      <xdr:row>14</xdr:row>
      <xdr:rowOff>546100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A250821-63FA-1A40-A5BB-F41C3124E5BB}"/>
            </a:ext>
          </a:extLst>
        </xdr:cNvPr>
        <xdr:cNvSpPr txBox="1"/>
      </xdr:nvSpPr>
      <xdr:spPr>
        <a:xfrm>
          <a:off x="9118600" y="84201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534A23F-9F02-DE45-A0CE-D6874962FB93}"/>
            </a:ext>
          </a:extLst>
        </xdr:cNvPr>
        <xdr:cNvSpPr txBox="1"/>
      </xdr:nvSpPr>
      <xdr:spPr>
        <a:xfrm>
          <a:off x="14071600" y="8420100"/>
          <a:ext cx="379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16</xdr:row>
      <xdr:rowOff>228600</xdr:rowOff>
    </xdr:from>
    <xdr:to>
      <xdr:col>6</xdr:col>
      <xdr:colOff>1130300</xdr:colOff>
      <xdr:row>16</xdr:row>
      <xdr:rowOff>546100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5414CC6-188C-7846-B22B-CFFDDE661E83}"/>
            </a:ext>
          </a:extLst>
        </xdr:cNvPr>
        <xdr:cNvSpPr txBox="1"/>
      </xdr:nvSpPr>
      <xdr:spPr>
        <a:xfrm>
          <a:off x="6667500" y="9690100"/>
          <a:ext cx="490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1143000</xdr:colOff>
      <xdr:row>16</xdr:row>
      <xdr:rowOff>228600</xdr:rowOff>
    </xdr:from>
    <xdr:to>
      <xdr:col>8</xdr:col>
      <xdr:colOff>1143000</xdr:colOff>
      <xdr:row>16</xdr:row>
      <xdr:rowOff>546100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F6456C0-E557-5041-BDFE-3E95A2D77F64}"/>
            </a:ext>
          </a:extLst>
        </xdr:cNvPr>
        <xdr:cNvSpPr txBox="1"/>
      </xdr:nvSpPr>
      <xdr:spPr>
        <a:xfrm>
          <a:off x="11582400" y="96901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1155700</xdr:colOff>
      <xdr:row>16</xdr:row>
      <xdr:rowOff>228600</xdr:rowOff>
    </xdr:from>
    <xdr:to>
      <xdr:col>9</xdr:col>
      <xdr:colOff>12700</xdr:colOff>
      <xdr:row>16</xdr:row>
      <xdr:rowOff>546100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6533B79-52DA-0D4B-932C-9B0AB94726CF}"/>
            </a:ext>
          </a:extLst>
        </xdr:cNvPr>
        <xdr:cNvSpPr txBox="1"/>
      </xdr:nvSpPr>
      <xdr:spPr>
        <a:xfrm>
          <a:off x="16548100" y="9690100"/>
          <a:ext cx="133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1193800</xdr:colOff>
      <xdr:row>8</xdr:row>
      <xdr:rowOff>215900</xdr:rowOff>
    </xdr:from>
    <xdr:to>
      <xdr:col>5</xdr:col>
      <xdr:colOff>1219200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203700" y="4597400"/>
          <a:ext cx="497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1206500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3</xdr:col>
      <xdr:colOff>1193800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546100" y="45974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215900</xdr:rowOff>
    </xdr:from>
    <xdr:to>
      <xdr:col>4</xdr:col>
      <xdr:colOff>1181100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816100" y="58674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5</xdr:col>
      <xdr:colOff>1054100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216400" y="7137400"/>
          <a:ext cx="480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2</xdr:col>
      <xdr:colOff>1168400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46100" y="8407400"/>
          <a:ext cx="115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6</xdr:row>
      <xdr:rowOff>190500</xdr:rowOff>
    </xdr:from>
    <xdr:to>
      <xdr:col>4</xdr:col>
      <xdr:colOff>1168400</xdr:colOff>
      <xdr:row>6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816100" y="3302000"/>
          <a:ext cx="483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6</xdr:col>
      <xdr:colOff>1168400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6667500" y="586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1168400</xdr:colOff>
      <xdr:row>14</xdr:row>
      <xdr:rowOff>215900</xdr:rowOff>
    </xdr:from>
    <xdr:to>
      <xdr:col>4</xdr:col>
      <xdr:colOff>1168400</xdr:colOff>
      <xdr:row>14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701800" y="84074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190500</xdr:rowOff>
    </xdr:from>
    <xdr:to>
      <xdr:col>2</xdr:col>
      <xdr:colOff>1295400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533400" y="3302000"/>
          <a:ext cx="129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1168400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AA501CA-CA00-D345-B86C-22618FBF81CB}"/>
            </a:ext>
          </a:extLst>
        </xdr:cNvPr>
        <xdr:cNvSpPr txBox="1"/>
      </xdr:nvSpPr>
      <xdr:spPr>
        <a:xfrm>
          <a:off x="546100" y="9677400"/>
          <a:ext cx="363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6</xdr:row>
      <xdr:rowOff>190500</xdr:rowOff>
    </xdr:from>
    <xdr:to>
      <xdr:col>6</xdr:col>
      <xdr:colOff>1219200</xdr:colOff>
      <xdr:row>6</xdr:row>
      <xdr:rowOff>508000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B93DCF-A4F3-D24F-B780-688F193CDBD7}"/>
            </a:ext>
          </a:extLst>
        </xdr:cNvPr>
        <xdr:cNvSpPr txBox="1"/>
      </xdr:nvSpPr>
      <xdr:spPr>
        <a:xfrm>
          <a:off x="6654800" y="33020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1231900</xdr:colOff>
      <xdr:row>6</xdr:row>
      <xdr:rowOff>190500</xdr:rowOff>
    </xdr:from>
    <xdr:to>
      <xdr:col>8</xdr:col>
      <xdr:colOff>1181100</xdr:colOff>
      <xdr:row>6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319135-45D1-B748-9153-DD40CFB37194}"/>
            </a:ext>
          </a:extLst>
        </xdr:cNvPr>
        <xdr:cNvSpPr txBox="1"/>
      </xdr:nvSpPr>
      <xdr:spPr>
        <a:xfrm>
          <a:off x="11671300" y="3302000"/>
          <a:ext cx="490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6</xdr:row>
      <xdr:rowOff>190500</xdr:rowOff>
    </xdr:from>
    <xdr:to>
      <xdr:col>9</xdr:col>
      <xdr:colOff>12700</xdr:colOff>
      <xdr:row>6</xdr:row>
      <xdr:rowOff>508000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C6783EA-D760-FE41-9A89-FE085390DC45}"/>
            </a:ext>
          </a:extLst>
        </xdr:cNvPr>
        <xdr:cNvSpPr txBox="1"/>
      </xdr:nvSpPr>
      <xdr:spPr>
        <a:xfrm>
          <a:off x="16586200" y="3302000"/>
          <a:ext cx="129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8</xdr:row>
      <xdr:rowOff>215900</xdr:rowOff>
    </xdr:from>
    <xdr:to>
      <xdr:col>7</xdr:col>
      <xdr:colOff>1282700</xdr:colOff>
      <xdr:row>8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B72582-E341-BE4C-B85C-14DB2D6536B0}"/>
            </a:ext>
          </a:extLst>
        </xdr:cNvPr>
        <xdr:cNvSpPr txBox="1"/>
      </xdr:nvSpPr>
      <xdr:spPr>
        <a:xfrm>
          <a:off x="9194800" y="45974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8</xdr:row>
      <xdr:rowOff>215900</xdr:rowOff>
    </xdr:from>
    <xdr:to>
      <xdr:col>9</xdr:col>
      <xdr:colOff>12700</xdr:colOff>
      <xdr:row>8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3AE4451-5AC9-8A4D-A810-7E803F2C028D}"/>
            </a:ext>
          </a:extLst>
        </xdr:cNvPr>
        <xdr:cNvSpPr txBox="1"/>
      </xdr:nvSpPr>
      <xdr:spPr>
        <a:xfrm>
          <a:off x="14211300" y="45974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254000</xdr:colOff>
      <xdr:row>10</xdr:row>
      <xdr:rowOff>215900</xdr:rowOff>
    </xdr:from>
    <xdr:to>
      <xdr:col>2</xdr:col>
      <xdr:colOff>1282700</xdr:colOff>
      <xdr:row>10</xdr:row>
      <xdr:rowOff>533400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8E820D-AD8F-4747-BFF7-A8E167F73717}"/>
            </a:ext>
          </a:extLst>
        </xdr:cNvPr>
        <xdr:cNvSpPr txBox="1"/>
      </xdr:nvSpPr>
      <xdr:spPr>
        <a:xfrm>
          <a:off x="520700" y="5867400"/>
          <a:ext cx="1295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1168400</xdr:colOff>
      <xdr:row>10</xdr:row>
      <xdr:rowOff>215900</xdr:rowOff>
    </xdr:from>
    <xdr:to>
      <xdr:col>8</xdr:col>
      <xdr:colOff>1092200</xdr:colOff>
      <xdr:row>10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1FAB7AB-6EC1-654C-8E1A-69D2C88D6467}"/>
            </a:ext>
          </a:extLst>
        </xdr:cNvPr>
        <xdr:cNvSpPr txBox="1"/>
      </xdr:nvSpPr>
      <xdr:spPr>
        <a:xfrm>
          <a:off x="11607800" y="586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1079500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D61CD8E-FDE6-9344-B450-1C3AAD302F1C}"/>
            </a:ext>
          </a:extLst>
        </xdr:cNvPr>
        <xdr:cNvSpPr txBox="1"/>
      </xdr:nvSpPr>
      <xdr:spPr>
        <a:xfrm>
          <a:off x="16471900" y="5867400"/>
          <a:ext cx="1397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1054100</xdr:colOff>
      <xdr:row>12</xdr:row>
      <xdr:rowOff>215900</xdr:rowOff>
    </xdr:from>
    <xdr:to>
      <xdr:col>7</xdr:col>
      <xdr:colOff>1041400</xdr:colOff>
      <xdr:row>12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35318C6-DC6A-4045-90EB-1DA5BC27ED7B}"/>
            </a:ext>
          </a:extLst>
        </xdr:cNvPr>
        <xdr:cNvSpPr txBox="1"/>
      </xdr:nvSpPr>
      <xdr:spPr>
        <a:xfrm>
          <a:off x="9017000" y="713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1028700</xdr:colOff>
      <xdr:row>12</xdr:row>
      <xdr:rowOff>215900</xdr:rowOff>
    </xdr:from>
    <xdr:to>
      <xdr:col>9</xdr:col>
      <xdr:colOff>12700</xdr:colOff>
      <xdr:row>12</xdr:row>
      <xdr:rowOff>533400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57E2E7B-3CA5-DE4F-9BC2-EA1DA28CF385}"/>
            </a:ext>
          </a:extLst>
        </xdr:cNvPr>
        <xdr:cNvSpPr txBox="1"/>
      </xdr:nvSpPr>
      <xdr:spPr>
        <a:xfrm>
          <a:off x="13944600" y="7137400"/>
          <a:ext cx="3937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5</xdr:col>
      <xdr:colOff>1130300</xdr:colOff>
      <xdr:row>12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4CC4F03-75CF-BA45-BF71-2355FE9CB45B}"/>
            </a:ext>
          </a:extLst>
        </xdr:cNvPr>
        <xdr:cNvSpPr txBox="1"/>
      </xdr:nvSpPr>
      <xdr:spPr>
        <a:xfrm>
          <a:off x="4216400" y="713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14</xdr:row>
      <xdr:rowOff>215900</xdr:rowOff>
    </xdr:from>
    <xdr:to>
      <xdr:col>6</xdr:col>
      <xdr:colOff>1104900</xdr:colOff>
      <xdr:row>14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2930CC-5122-3046-84C4-07619AE38EC6}"/>
            </a:ext>
          </a:extLst>
        </xdr:cNvPr>
        <xdr:cNvSpPr txBox="1"/>
      </xdr:nvSpPr>
      <xdr:spPr>
        <a:xfrm>
          <a:off x="6667500" y="840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1117600</xdr:colOff>
      <xdr:row>14</xdr:row>
      <xdr:rowOff>215900</xdr:rowOff>
    </xdr:from>
    <xdr:to>
      <xdr:col>8</xdr:col>
      <xdr:colOff>1104900</xdr:colOff>
      <xdr:row>14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CA64A1E-4B8C-4C4A-8DC2-D3C5B9575A80}"/>
            </a:ext>
          </a:extLst>
        </xdr:cNvPr>
        <xdr:cNvSpPr txBox="1"/>
      </xdr:nvSpPr>
      <xdr:spPr>
        <a:xfrm>
          <a:off x="11557000" y="840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1092200</xdr:colOff>
      <xdr:row>14</xdr:row>
      <xdr:rowOff>215900</xdr:rowOff>
    </xdr:from>
    <xdr:to>
      <xdr:col>9</xdr:col>
      <xdr:colOff>25400</xdr:colOff>
      <xdr:row>14</xdr:row>
      <xdr:rowOff>533400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5556D63-7CCE-6D4A-A26C-EA21BC81D993}"/>
            </a:ext>
          </a:extLst>
        </xdr:cNvPr>
        <xdr:cNvSpPr txBox="1"/>
      </xdr:nvSpPr>
      <xdr:spPr>
        <a:xfrm>
          <a:off x="16484600" y="8407400"/>
          <a:ext cx="1409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16</xdr:row>
      <xdr:rowOff>215900</xdr:rowOff>
    </xdr:from>
    <xdr:to>
      <xdr:col>5</xdr:col>
      <xdr:colOff>1168400</xdr:colOff>
      <xdr:row>16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B92FAA2-4909-774B-90FD-204469D7723A}"/>
            </a:ext>
          </a:extLst>
        </xdr:cNvPr>
        <xdr:cNvSpPr txBox="1"/>
      </xdr:nvSpPr>
      <xdr:spPr>
        <a:xfrm>
          <a:off x="4178300" y="96774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16</xdr:row>
      <xdr:rowOff>215900</xdr:rowOff>
    </xdr:from>
    <xdr:to>
      <xdr:col>7</xdr:col>
      <xdr:colOff>1104900</xdr:colOff>
      <xdr:row>16</xdr:row>
      <xdr:rowOff>533400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A3CE84-EE94-5246-87BC-DFF162147A6C}"/>
            </a:ext>
          </a:extLst>
        </xdr:cNvPr>
        <xdr:cNvSpPr txBox="1"/>
      </xdr:nvSpPr>
      <xdr:spPr>
        <a:xfrm>
          <a:off x="9144000" y="9677400"/>
          <a:ext cx="487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1117600</xdr:colOff>
      <xdr:row>16</xdr:row>
      <xdr:rowOff>215900</xdr:rowOff>
    </xdr:from>
    <xdr:to>
      <xdr:col>8</xdr:col>
      <xdr:colOff>2463800</xdr:colOff>
      <xdr:row>16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D9D4839-2017-6640-B65F-2C581C909448}"/>
            </a:ext>
          </a:extLst>
        </xdr:cNvPr>
        <xdr:cNvSpPr txBox="1"/>
      </xdr:nvSpPr>
      <xdr:spPr>
        <a:xfrm>
          <a:off x="14033500" y="9677400"/>
          <a:ext cx="382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1193800</xdr:colOff>
      <xdr:row>8</xdr:row>
      <xdr:rowOff>215900</xdr:rowOff>
    </xdr:from>
    <xdr:to>
      <xdr:col>5</xdr:col>
      <xdr:colOff>1231900</xdr:colOff>
      <xdr:row>8</xdr:row>
      <xdr:rowOff>533399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4203700" y="4597400"/>
          <a:ext cx="499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1155700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334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2</xdr:col>
      <xdr:colOff>1219200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533400" y="3327400"/>
          <a:ext cx="121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215900</xdr:rowOff>
    </xdr:from>
    <xdr:to>
      <xdr:col>3</xdr:col>
      <xdr:colOff>1193800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533400" y="45974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1143000</xdr:colOff>
      <xdr:row>10</xdr:row>
      <xdr:rowOff>215900</xdr:rowOff>
    </xdr:from>
    <xdr:to>
      <xdr:col>4</xdr:col>
      <xdr:colOff>1168400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1676400" y="5867400"/>
          <a:ext cx="497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12</xdr:row>
      <xdr:rowOff>215900</xdr:rowOff>
    </xdr:from>
    <xdr:to>
      <xdr:col>5</xdr:col>
      <xdr:colOff>1193800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4152900" y="71374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2</xdr:col>
      <xdr:colOff>1257300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546100" y="84074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6</xdr:col>
      <xdr:colOff>1104900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6667500" y="58674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6</xdr:row>
      <xdr:rowOff>215900</xdr:rowOff>
    </xdr:from>
    <xdr:to>
      <xdr:col>4</xdr:col>
      <xdr:colOff>1181100</xdr:colOff>
      <xdr:row>6</xdr:row>
      <xdr:rowOff>533400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1752600" y="3327400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1270000</xdr:colOff>
      <xdr:row>14</xdr:row>
      <xdr:rowOff>215900</xdr:rowOff>
    </xdr:from>
    <xdr:to>
      <xdr:col>4</xdr:col>
      <xdr:colOff>1193800</xdr:colOff>
      <xdr:row>14</xdr:row>
      <xdr:rowOff>533400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410EF-56A6-A540-83CE-90A93E1EE29E}"/>
            </a:ext>
          </a:extLst>
        </xdr:cNvPr>
        <xdr:cNvSpPr txBox="1"/>
      </xdr:nvSpPr>
      <xdr:spPr>
        <a:xfrm>
          <a:off x="1803400" y="84074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3</xdr:col>
      <xdr:colOff>1181100</xdr:colOff>
      <xdr:row>16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D41B2BD-C3BE-4C47-A7FC-C5C178676E44}"/>
            </a:ext>
          </a:extLst>
        </xdr:cNvPr>
        <xdr:cNvSpPr txBox="1"/>
      </xdr:nvSpPr>
      <xdr:spPr>
        <a:xfrm>
          <a:off x="546100" y="96901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3</xdr:col>
      <xdr:colOff>1168400</xdr:colOff>
      <xdr:row>16</xdr:row>
      <xdr:rowOff>228600</xdr:rowOff>
    </xdr:from>
    <xdr:ext cx="5067299" cy="31749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DF4BE6-6956-8D4E-99AD-490C07A46972}"/>
            </a:ext>
          </a:extLst>
        </xdr:cNvPr>
        <xdr:cNvSpPr txBox="1"/>
      </xdr:nvSpPr>
      <xdr:spPr>
        <a:xfrm>
          <a:off x="4178300" y="9690100"/>
          <a:ext cx="50672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4</xdr:col>
      <xdr:colOff>1168400</xdr:colOff>
      <xdr:row>6</xdr:row>
      <xdr:rowOff>215900</xdr:rowOff>
    </xdr:from>
    <xdr:to>
      <xdr:col>6</xdr:col>
      <xdr:colOff>1231900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B0720D-1B8A-A140-9BE3-016EF18DE7C7}"/>
            </a:ext>
          </a:extLst>
        </xdr:cNvPr>
        <xdr:cNvSpPr txBox="1"/>
      </xdr:nvSpPr>
      <xdr:spPr>
        <a:xfrm>
          <a:off x="6654800" y="33274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6</xdr:row>
      <xdr:rowOff>215900</xdr:rowOff>
    </xdr:from>
    <xdr:to>
      <xdr:col>8</xdr:col>
      <xdr:colOff>1206500</xdr:colOff>
      <xdr:row>6</xdr:row>
      <xdr:rowOff>533400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AE5657-769B-7749-94DF-85C8EB14ADD2}"/>
            </a:ext>
          </a:extLst>
        </xdr:cNvPr>
        <xdr:cNvSpPr txBox="1"/>
      </xdr:nvSpPr>
      <xdr:spPr>
        <a:xfrm>
          <a:off x="11684000" y="3327400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1219200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3DD32F-377C-9A4F-AC6F-B1807F60B652}"/>
            </a:ext>
          </a:extLst>
        </xdr:cNvPr>
        <xdr:cNvSpPr txBox="1"/>
      </xdr:nvSpPr>
      <xdr:spPr>
        <a:xfrm>
          <a:off x="16611600" y="3327400"/>
          <a:ext cx="125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8</xdr:row>
      <xdr:rowOff>215900</xdr:rowOff>
    </xdr:from>
    <xdr:to>
      <xdr:col>7</xdr:col>
      <xdr:colOff>1308100</xdr:colOff>
      <xdr:row>8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BD6ED9-9CEC-904E-96D5-4190F8982E2D}"/>
            </a:ext>
          </a:extLst>
        </xdr:cNvPr>
        <xdr:cNvSpPr txBox="1"/>
      </xdr:nvSpPr>
      <xdr:spPr>
        <a:xfrm>
          <a:off x="9207500" y="45974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8</xdr:row>
      <xdr:rowOff>215900</xdr:rowOff>
    </xdr:from>
    <xdr:to>
      <xdr:col>9</xdr:col>
      <xdr:colOff>25400</xdr:colOff>
      <xdr:row>8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340928-7A88-2547-BAAC-E642BEAAD96E}"/>
            </a:ext>
          </a:extLst>
        </xdr:cNvPr>
        <xdr:cNvSpPr txBox="1"/>
      </xdr:nvSpPr>
      <xdr:spPr>
        <a:xfrm>
          <a:off x="14236700" y="4597400"/>
          <a:ext cx="365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1117600</xdr:colOff>
      <xdr:row>10</xdr:row>
      <xdr:rowOff>215900</xdr:rowOff>
    </xdr:from>
    <xdr:to>
      <xdr:col>8</xdr:col>
      <xdr:colOff>1181100</xdr:colOff>
      <xdr:row>10</xdr:row>
      <xdr:rowOff>533400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6C50786-2254-2D44-B2E0-241F81FABA31}"/>
            </a:ext>
          </a:extLst>
        </xdr:cNvPr>
        <xdr:cNvSpPr txBox="1"/>
      </xdr:nvSpPr>
      <xdr:spPr>
        <a:xfrm>
          <a:off x="11557000" y="5867400"/>
          <a:ext cx="501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10</xdr:row>
      <xdr:rowOff>215900</xdr:rowOff>
    </xdr:from>
    <xdr:to>
      <xdr:col>9</xdr:col>
      <xdr:colOff>12700</xdr:colOff>
      <xdr:row>10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2DA9F0-51A0-F24A-BF27-5BEA5FC38D96}"/>
            </a:ext>
          </a:extLst>
        </xdr:cNvPr>
        <xdr:cNvSpPr txBox="1"/>
      </xdr:nvSpPr>
      <xdr:spPr>
        <a:xfrm>
          <a:off x="16586200" y="5867400"/>
          <a:ext cx="1295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215900</xdr:rowOff>
    </xdr:from>
    <xdr:to>
      <xdr:col>2</xdr:col>
      <xdr:colOff>1155700</xdr:colOff>
      <xdr:row>10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1906C9A-7D9B-8640-AAC8-5926CAF08C56}"/>
            </a:ext>
          </a:extLst>
        </xdr:cNvPr>
        <xdr:cNvSpPr txBox="1"/>
      </xdr:nvSpPr>
      <xdr:spPr>
        <a:xfrm>
          <a:off x="533400" y="5867400"/>
          <a:ext cx="115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12</xdr:row>
      <xdr:rowOff>215900</xdr:rowOff>
    </xdr:from>
    <xdr:to>
      <xdr:col>7</xdr:col>
      <xdr:colOff>1117600</xdr:colOff>
      <xdr:row>12</xdr:row>
      <xdr:rowOff>533400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52E4BA5-0DE5-3348-A226-52B7901DE849}"/>
            </a:ext>
          </a:extLst>
        </xdr:cNvPr>
        <xdr:cNvSpPr txBox="1"/>
      </xdr:nvSpPr>
      <xdr:spPr>
        <a:xfrm>
          <a:off x="9156700" y="71374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1130300</xdr:colOff>
      <xdr:row>12</xdr:row>
      <xdr:rowOff>215900</xdr:rowOff>
    </xdr:from>
    <xdr:to>
      <xdr:col>9</xdr:col>
      <xdr:colOff>12700</xdr:colOff>
      <xdr:row>12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E3426C-CC7A-134D-A84F-067295955D9E}"/>
            </a:ext>
          </a:extLst>
        </xdr:cNvPr>
        <xdr:cNvSpPr txBox="1"/>
      </xdr:nvSpPr>
      <xdr:spPr>
        <a:xfrm>
          <a:off x="14046200" y="7137400"/>
          <a:ext cx="383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14</xdr:row>
      <xdr:rowOff>215900</xdr:rowOff>
    </xdr:from>
    <xdr:to>
      <xdr:col>6</xdr:col>
      <xdr:colOff>1257300</xdr:colOff>
      <xdr:row>14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FF88CB6-AB5E-5A49-9802-D1087C7E57BE}"/>
            </a:ext>
          </a:extLst>
        </xdr:cNvPr>
        <xdr:cNvSpPr txBox="1"/>
      </xdr:nvSpPr>
      <xdr:spPr>
        <a:xfrm>
          <a:off x="6692900" y="84074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1270000</xdr:colOff>
      <xdr:row>14</xdr:row>
      <xdr:rowOff>215900</xdr:rowOff>
    </xdr:from>
    <xdr:to>
      <xdr:col>8</xdr:col>
      <xdr:colOff>1193800</xdr:colOff>
      <xdr:row>14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E48DC01-C6E5-4047-BF39-CFF55CE51364}"/>
            </a:ext>
          </a:extLst>
        </xdr:cNvPr>
        <xdr:cNvSpPr txBox="1"/>
      </xdr:nvSpPr>
      <xdr:spPr>
        <a:xfrm>
          <a:off x="11709400" y="8407400"/>
          <a:ext cx="4876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14</xdr:row>
      <xdr:rowOff>215900</xdr:rowOff>
    </xdr:from>
    <xdr:to>
      <xdr:col>9</xdr:col>
      <xdr:colOff>25400</xdr:colOff>
      <xdr:row>14</xdr:row>
      <xdr:rowOff>533400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1FA0189-A216-AC46-B24C-A1CCD3D86E58}"/>
            </a:ext>
          </a:extLst>
        </xdr:cNvPr>
        <xdr:cNvSpPr txBox="1"/>
      </xdr:nvSpPr>
      <xdr:spPr>
        <a:xfrm>
          <a:off x="16586200" y="8407400"/>
          <a:ext cx="1308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16</xdr:row>
      <xdr:rowOff>228600</xdr:rowOff>
    </xdr:from>
    <xdr:to>
      <xdr:col>7</xdr:col>
      <xdr:colOff>1346200</xdr:colOff>
      <xdr:row>16</xdr:row>
      <xdr:rowOff>546100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9016B9-C073-744A-A5CD-ABDE59B5A92B}"/>
            </a:ext>
          </a:extLst>
        </xdr:cNvPr>
        <xdr:cNvSpPr txBox="1"/>
      </xdr:nvSpPr>
      <xdr:spPr>
        <a:xfrm>
          <a:off x="9258300" y="96901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1346200</xdr:colOff>
      <xdr:row>16</xdr:row>
      <xdr:rowOff>228600</xdr:rowOff>
    </xdr:from>
    <xdr:to>
      <xdr:col>9</xdr:col>
      <xdr:colOff>12700</xdr:colOff>
      <xdr:row>16</xdr:row>
      <xdr:rowOff>546100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BF94D39-7B00-1746-AE5B-7634B842F056}"/>
            </a:ext>
          </a:extLst>
        </xdr:cNvPr>
        <xdr:cNvSpPr txBox="1"/>
      </xdr:nvSpPr>
      <xdr:spPr>
        <a:xfrm>
          <a:off x="14262100" y="9690100"/>
          <a:ext cx="361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1181100</xdr:colOff>
      <xdr:row>8</xdr:row>
      <xdr:rowOff>215900</xdr:rowOff>
    </xdr:from>
    <xdr:to>
      <xdr:col>5</xdr:col>
      <xdr:colOff>1295400</xdr:colOff>
      <xdr:row>8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4191000" y="4597400"/>
          <a:ext cx="506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25400</xdr:colOff>
      <xdr:row>12</xdr:row>
      <xdr:rowOff>215900</xdr:rowOff>
    </xdr:from>
    <xdr:to>
      <xdr:col>3</xdr:col>
      <xdr:colOff>1244599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58800" y="713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254000</xdr:rowOff>
    </xdr:from>
    <xdr:to>
      <xdr:col>2</xdr:col>
      <xdr:colOff>1244600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546100" y="3365500"/>
          <a:ext cx="123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3</xdr:col>
      <xdr:colOff>1181100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46100" y="45974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215900</xdr:rowOff>
    </xdr:from>
    <xdr:to>
      <xdr:col>4</xdr:col>
      <xdr:colOff>1181100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1803400" y="5867400"/>
          <a:ext cx="486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215900</xdr:rowOff>
    </xdr:from>
    <xdr:to>
      <xdr:col>5</xdr:col>
      <xdr:colOff>1206500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4254500" y="71374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2</xdr:col>
      <xdr:colOff>1346200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546100" y="8407400"/>
          <a:ext cx="133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6</xdr:row>
      <xdr:rowOff>254000</xdr:rowOff>
    </xdr:from>
    <xdr:to>
      <xdr:col>4</xdr:col>
      <xdr:colOff>1181100</xdr:colOff>
      <xdr:row>6</xdr:row>
      <xdr:rowOff>571500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1778000" y="33655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215900</xdr:rowOff>
    </xdr:from>
    <xdr:to>
      <xdr:col>6</xdr:col>
      <xdr:colOff>1206500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6667500" y="586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oneCellAnchor>
    <xdr:from>
      <xdr:col>3</xdr:col>
      <xdr:colOff>1181100</xdr:colOff>
      <xdr:row>16</xdr:row>
      <xdr:rowOff>215900</xdr:rowOff>
    </xdr:from>
    <xdr:ext cx="4927600" cy="31749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1BBCD3-45F9-0945-AD2B-989E4925A17A}"/>
            </a:ext>
          </a:extLst>
        </xdr:cNvPr>
        <xdr:cNvSpPr txBox="1"/>
      </xdr:nvSpPr>
      <xdr:spPr>
        <a:xfrm>
          <a:off x="4191000" y="96774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2</xdr:col>
      <xdr:colOff>1346200</xdr:colOff>
      <xdr:row>14</xdr:row>
      <xdr:rowOff>215900</xdr:rowOff>
    </xdr:from>
    <xdr:to>
      <xdr:col>4</xdr:col>
      <xdr:colOff>1168400</xdr:colOff>
      <xdr:row>14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078A55B-E142-D949-9917-E97D52B5DF51}"/>
            </a:ext>
          </a:extLst>
        </xdr:cNvPr>
        <xdr:cNvSpPr txBox="1"/>
      </xdr:nvSpPr>
      <xdr:spPr>
        <a:xfrm>
          <a:off x="1879600" y="8407400"/>
          <a:ext cx="4775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3</xdr:col>
      <xdr:colOff>1181100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C43CB0-F68E-1F4D-93E9-AC35AA8DFFCC}"/>
            </a:ext>
          </a:extLst>
        </xdr:cNvPr>
        <xdr:cNvSpPr txBox="1"/>
      </xdr:nvSpPr>
      <xdr:spPr>
        <a:xfrm>
          <a:off x="546100" y="96774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6</xdr:row>
      <xdr:rowOff>254000</xdr:rowOff>
    </xdr:from>
    <xdr:to>
      <xdr:col>6</xdr:col>
      <xdr:colOff>1231900</xdr:colOff>
      <xdr:row>6</xdr:row>
      <xdr:rowOff>571500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B8B794-B214-9B47-A505-DD792FA87381}"/>
            </a:ext>
          </a:extLst>
        </xdr:cNvPr>
        <xdr:cNvSpPr txBox="1"/>
      </xdr:nvSpPr>
      <xdr:spPr>
        <a:xfrm>
          <a:off x="6667500" y="33655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1244600</xdr:colOff>
      <xdr:row>6</xdr:row>
      <xdr:rowOff>254000</xdr:rowOff>
    </xdr:from>
    <xdr:to>
      <xdr:col>8</xdr:col>
      <xdr:colOff>1181100</xdr:colOff>
      <xdr:row>6</xdr:row>
      <xdr:rowOff>571500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0E048E-7BCF-574E-A9A8-F21BEBDCC078}"/>
            </a:ext>
          </a:extLst>
        </xdr:cNvPr>
        <xdr:cNvSpPr txBox="1"/>
      </xdr:nvSpPr>
      <xdr:spPr>
        <a:xfrm>
          <a:off x="11684000" y="33655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6</xdr:row>
      <xdr:rowOff>254000</xdr:rowOff>
    </xdr:from>
    <xdr:to>
      <xdr:col>9</xdr:col>
      <xdr:colOff>25400</xdr:colOff>
      <xdr:row>6</xdr:row>
      <xdr:rowOff>571500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6F6BB4-2389-7C4D-97FA-5729D957F8AF}"/>
            </a:ext>
          </a:extLst>
        </xdr:cNvPr>
        <xdr:cNvSpPr txBox="1"/>
      </xdr:nvSpPr>
      <xdr:spPr>
        <a:xfrm>
          <a:off x="16586200" y="3365500"/>
          <a:ext cx="1308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8</xdr:row>
      <xdr:rowOff>215900</xdr:rowOff>
    </xdr:from>
    <xdr:to>
      <xdr:col>7</xdr:col>
      <xdr:colOff>1346200</xdr:colOff>
      <xdr:row>8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D37F3C-9E8B-CF4E-9385-84ECACCADB2F}"/>
            </a:ext>
          </a:extLst>
        </xdr:cNvPr>
        <xdr:cNvSpPr txBox="1"/>
      </xdr:nvSpPr>
      <xdr:spPr>
        <a:xfrm>
          <a:off x="9258300" y="45974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1358900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560A603-B5D9-A643-8099-117E22E134F2}"/>
            </a:ext>
          </a:extLst>
        </xdr:cNvPr>
        <xdr:cNvSpPr txBox="1"/>
      </xdr:nvSpPr>
      <xdr:spPr>
        <a:xfrm>
          <a:off x="14274800" y="4597400"/>
          <a:ext cx="359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10</xdr:row>
      <xdr:rowOff>215900</xdr:rowOff>
    </xdr:from>
    <xdr:to>
      <xdr:col>8</xdr:col>
      <xdr:colOff>1282700</xdr:colOff>
      <xdr:row>10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37D0BD4-BE70-D64E-A76E-3313619CE39E}"/>
            </a:ext>
          </a:extLst>
        </xdr:cNvPr>
        <xdr:cNvSpPr txBox="1"/>
      </xdr:nvSpPr>
      <xdr:spPr>
        <a:xfrm>
          <a:off x="11645900" y="58674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1295400</xdr:colOff>
      <xdr:row>10</xdr:row>
      <xdr:rowOff>215900</xdr:rowOff>
    </xdr:from>
    <xdr:to>
      <xdr:col>9</xdr:col>
      <xdr:colOff>12700</xdr:colOff>
      <xdr:row>10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7E20F24-EE70-B44D-8897-65446B9C6B0B}"/>
            </a:ext>
          </a:extLst>
        </xdr:cNvPr>
        <xdr:cNvSpPr txBox="1"/>
      </xdr:nvSpPr>
      <xdr:spPr>
        <a:xfrm>
          <a:off x="16687800" y="5867400"/>
          <a:ext cx="119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2</xdr:col>
      <xdr:colOff>1270000</xdr:colOff>
      <xdr:row>10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67AD98F-0B90-8E4A-8D3B-15BAFEC9C781}"/>
            </a:ext>
          </a:extLst>
        </xdr:cNvPr>
        <xdr:cNvSpPr txBox="1"/>
      </xdr:nvSpPr>
      <xdr:spPr>
        <a:xfrm>
          <a:off x="546100" y="5867400"/>
          <a:ext cx="125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12</xdr:row>
      <xdr:rowOff>215900</xdr:rowOff>
    </xdr:from>
    <xdr:to>
      <xdr:col>7</xdr:col>
      <xdr:colOff>1244600</xdr:colOff>
      <xdr:row>12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EDA945D-0694-354B-BDE5-F733B1EB8ABF}"/>
            </a:ext>
          </a:extLst>
        </xdr:cNvPr>
        <xdr:cNvSpPr txBox="1"/>
      </xdr:nvSpPr>
      <xdr:spPr>
        <a:xfrm>
          <a:off x="9182100" y="713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8C5B09E-8F27-EF43-8A81-C185CBD09CC8}"/>
            </a:ext>
          </a:extLst>
        </xdr:cNvPr>
        <xdr:cNvSpPr txBox="1"/>
      </xdr:nvSpPr>
      <xdr:spPr>
        <a:xfrm>
          <a:off x="14147800" y="71374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14</xdr:row>
      <xdr:rowOff>215900</xdr:rowOff>
    </xdr:from>
    <xdr:to>
      <xdr:col>6</xdr:col>
      <xdr:colOff>1143000</xdr:colOff>
      <xdr:row>14</xdr:row>
      <xdr:rowOff>533400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6D8066C-D415-EB49-A2D6-65A6742BEC77}"/>
            </a:ext>
          </a:extLst>
        </xdr:cNvPr>
        <xdr:cNvSpPr txBox="1"/>
      </xdr:nvSpPr>
      <xdr:spPr>
        <a:xfrm>
          <a:off x="6667500" y="84074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1143000</xdr:colOff>
      <xdr:row>14</xdr:row>
      <xdr:rowOff>215900</xdr:rowOff>
    </xdr:from>
    <xdr:to>
      <xdr:col>8</xdr:col>
      <xdr:colOff>1168400</xdr:colOff>
      <xdr:row>14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2A27BFB-B0C7-CA43-ADE9-72D86DB3D1A4}"/>
            </a:ext>
          </a:extLst>
        </xdr:cNvPr>
        <xdr:cNvSpPr txBox="1"/>
      </xdr:nvSpPr>
      <xdr:spPr>
        <a:xfrm>
          <a:off x="11582400" y="840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1168400</xdr:colOff>
      <xdr:row>14</xdr:row>
      <xdr:rowOff>215900</xdr:rowOff>
    </xdr:from>
    <xdr:to>
      <xdr:col>9</xdr:col>
      <xdr:colOff>12700</xdr:colOff>
      <xdr:row>14</xdr:row>
      <xdr:rowOff>533400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D15C5BA-655E-1749-9E08-CCB59F86F6F2}"/>
            </a:ext>
          </a:extLst>
        </xdr:cNvPr>
        <xdr:cNvSpPr txBox="1"/>
      </xdr:nvSpPr>
      <xdr:spPr>
        <a:xfrm>
          <a:off x="16560800" y="8407400"/>
          <a:ext cx="132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1155700</xdr:colOff>
      <xdr:row>16</xdr:row>
      <xdr:rowOff>215900</xdr:rowOff>
    </xdr:from>
    <xdr:to>
      <xdr:col>7</xdr:col>
      <xdr:colOff>1117600</xdr:colOff>
      <xdr:row>16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CC55A72-91AB-8046-8370-30D786F16B2D}"/>
            </a:ext>
          </a:extLst>
        </xdr:cNvPr>
        <xdr:cNvSpPr txBox="1"/>
      </xdr:nvSpPr>
      <xdr:spPr>
        <a:xfrm>
          <a:off x="9118600" y="96774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1117600</xdr:colOff>
      <xdr:row>16</xdr:row>
      <xdr:rowOff>215900</xdr:rowOff>
    </xdr:from>
    <xdr:to>
      <xdr:col>8</xdr:col>
      <xdr:colOff>2463800</xdr:colOff>
      <xdr:row>16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4813720-317C-3340-AE84-4C3D05FDA46B}"/>
            </a:ext>
          </a:extLst>
        </xdr:cNvPr>
        <xdr:cNvSpPr txBox="1"/>
      </xdr:nvSpPr>
      <xdr:spPr>
        <a:xfrm>
          <a:off x="14033500" y="9677400"/>
          <a:ext cx="382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0</xdr:colOff>
      <xdr:row>10</xdr:row>
      <xdr:rowOff>215900</xdr:rowOff>
    </xdr:from>
    <xdr:to>
      <xdr:col>3</xdr:col>
      <xdr:colOff>1117600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533400" y="5867400"/>
          <a:ext cx="359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3</xdr:col>
      <xdr:colOff>1117600</xdr:colOff>
      <xdr:row>10</xdr:row>
      <xdr:rowOff>215900</xdr:rowOff>
    </xdr:from>
    <xdr:to>
      <xdr:col>5</xdr:col>
      <xdr:colOff>1231900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4127500" y="58674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1117600</xdr:colOff>
      <xdr:row>14</xdr:row>
      <xdr:rowOff>241300</xdr:rowOff>
    </xdr:from>
    <xdr:to>
      <xdr:col>7</xdr:col>
      <xdr:colOff>1231900</xdr:colOff>
      <xdr:row>14</xdr:row>
      <xdr:rowOff>558800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9080500" y="84328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254000</xdr:rowOff>
    </xdr:from>
    <xdr:to>
      <xdr:col>2</xdr:col>
      <xdr:colOff>1231900</xdr:colOff>
      <xdr:row>8</xdr:row>
      <xdr:rowOff>571500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546100" y="4635500"/>
          <a:ext cx="121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215900</xdr:rowOff>
    </xdr:from>
    <xdr:to>
      <xdr:col>3</xdr:col>
      <xdr:colOff>1181100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533400" y="33274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4</xdr:col>
      <xdr:colOff>1130300</xdr:colOff>
      <xdr:row>8</xdr:row>
      <xdr:rowOff>254000</xdr:rowOff>
    </xdr:from>
    <xdr:ext cx="4953000" cy="317499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DF414E9D-9F24-7E45-B346-02E8148B7E33}"/>
            </a:ext>
          </a:extLst>
        </xdr:cNvPr>
        <xdr:cNvSpPr txBox="1"/>
      </xdr:nvSpPr>
      <xdr:spPr>
        <a:xfrm>
          <a:off x="6616700" y="4635500"/>
          <a:ext cx="495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3</xdr:col>
      <xdr:colOff>1117600</xdr:colOff>
      <xdr:row>14</xdr:row>
      <xdr:rowOff>241300</xdr:rowOff>
    </xdr:from>
    <xdr:ext cx="4953000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714F0F-5892-A347-B131-DDB47CF99345}"/>
            </a:ext>
          </a:extLst>
        </xdr:cNvPr>
        <xdr:cNvSpPr txBox="1"/>
      </xdr:nvSpPr>
      <xdr:spPr>
        <a:xfrm>
          <a:off x="4127500" y="8432800"/>
          <a:ext cx="495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2</xdr:col>
      <xdr:colOff>12700</xdr:colOff>
      <xdr:row>16</xdr:row>
      <xdr:rowOff>215900</xdr:rowOff>
    </xdr:from>
    <xdr:to>
      <xdr:col>2</xdr:col>
      <xdr:colOff>1270000</xdr:colOff>
      <xdr:row>16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1BA351-B1B2-EF4D-B28E-C62B10A7DEA5}"/>
            </a:ext>
          </a:extLst>
        </xdr:cNvPr>
        <xdr:cNvSpPr txBox="1"/>
      </xdr:nvSpPr>
      <xdr:spPr>
        <a:xfrm>
          <a:off x="546100" y="9677400"/>
          <a:ext cx="125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6</xdr:row>
      <xdr:rowOff>215900</xdr:rowOff>
    </xdr:from>
    <xdr:to>
      <xdr:col>5</xdr:col>
      <xdr:colOff>1244600</xdr:colOff>
      <xdr:row>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36336-F1AD-8B4D-AFB2-2A9E9D21F08F}"/>
            </a:ext>
          </a:extLst>
        </xdr:cNvPr>
        <xdr:cNvSpPr txBox="1"/>
      </xdr:nvSpPr>
      <xdr:spPr>
        <a:xfrm>
          <a:off x="4191000" y="3327400"/>
          <a:ext cx="501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215900</xdr:rowOff>
    </xdr:from>
    <xdr:to>
      <xdr:col>7</xdr:col>
      <xdr:colOff>1244600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8D545F-6120-C146-8EAE-E7DAB25B801F}"/>
            </a:ext>
          </a:extLst>
        </xdr:cNvPr>
        <xdr:cNvSpPr txBox="1"/>
      </xdr:nvSpPr>
      <xdr:spPr>
        <a:xfrm>
          <a:off x="9207500" y="33274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215900</xdr:rowOff>
    </xdr:from>
    <xdr:to>
      <xdr:col>9</xdr:col>
      <xdr:colOff>12700</xdr:colOff>
      <xdr:row>6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1E30B7-6E4D-2B49-8B98-09A8E552D9D1}"/>
            </a:ext>
          </a:extLst>
        </xdr:cNvPr>
        <xdr:cNvSpPr txBox="1"/>
      </xdr:nvSpPr>
      <xdr:spPr>
        <a:xfrm>
          <a:off x="14173200" y="33274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8</xdr:row>
      <xdr:rowOff>254000</xdr:rowOff>
    </xdr:from>
    <xdr:to>
      <xdr:col>4</xdr:col>
      <xdr:colOff>1130300</xdr:colOff>
      <xdr:row>8</xdr:row>
      <xdr:rowOff>571500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FEB7E3-8D27-7741-83F8-2D0350C22C73}"/>
            </a:ext>
          </a:extLst>
        </xdr:cNvPr>
        <xdr:cNvSpPr txBox="1"/>
      </xdr:nvSpPr>
      <xdr:spPr>
        <a:xfrm>
          <a:off x="1765300" y="4635500"/>
          <a:ext cx="485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10</xdr:row>
      <xdr:rowOff>215900</xdr:rowOff>
    </xdr:from>
    <xdr:to>
      <xdr:col>7</xdr:col>
      <xdr:colOff>1244600</xdr:colOff>
      <xdr:row>10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D0C8DE0-F2E0-C944-9623-D8D1F9C8D82B}"/>
            </a:ext>
          </a:extLst>
        </xdr:cNvPr>
        <xdr:cNvSpPr txBox="1"/>
      </xdr:nvSpPr>
      <xdr:spPr>
        <a:xfrm>
          <a:off x="9207500" y="58674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10</xdr:row>
      <xdr:rowOff>215900</xdr:rowOff>
    </xdr:from>
    <xdr:to>
      <xdr:col>9</xdr:col>
      <xdr:colOff>25400</xdr:colOff>
      <xdr:row>10</xdr:row>
      <xdr:rowOff>533400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BA06571-4F94-3047-9ECA-0B2E5C13BF29}"/>
            </a:ext>
          </a:extLst>
        </xdr:cNvPr>
        <xdr:cNvSpPr txBox="1"/>
      </xdr:nvSpPr>
      <xdr:spPr>
        <a:xfrm>
          <a:off x="14160500" y="5867400"/>
          <a:ext cx="373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215900</xdr:rowOff>
    </xdr:from>
    <xdr:to>
      <xdr:col>2</xdr:col>
      <xdr:colOff>1257300</xdr:colOff>
      <xdr:row>12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60912E8-3814-CE4F-BA26-DD0B84FCD4D8}"/>
            </a:ext>
          </a:extLst>
        </xdr:cNvPr>
        <xdr:cNvSpPr txBox="1"/>
      </xdr:nvSpPr>
      <xdr:spPr>
        <a:xfrm>
          <a:off x="546100" y="71374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215900</xdr:rowOff>
    </xdr:from>
    <xdr:to>
      <xdr:col>4</xdr:col>
      <xdr:colOff>1104900</xdr:colOff>
      <xdr:row>12</xdr:row>
      <xdr:rowOff>533400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FE31A8F-B132-774C-A4F0-B315C24C258E}"/>
            </a:ext>
          </a:extLst>
        </xdr:cNvPr>
        <xdr:cNvSpPr txBox="1"/>
      </xdr:nvSpPr>
      <xdr:spPr>
        <a:xfrm>
          <a:off x="1790700" y="7137400"/>
          <a:ext cx="480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1104900</xdr:colOff>
      <xdr:row>12</xdr:row>
      <xdr:rowOff>215900</xdr:rowOff>
    </xdr:from>
    <xdr:to>
      <xdr:col>6</xdr:col>
      <xdr:colOff>1181100</xdr:colOff>
      <xdr:row>12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D3BAB3-B56E-5142-BAD4-654A72EBE175}"/>
            </a:ext>
          </a:extLst>
        </xdr:cNvPr>
        <xdr:cNvSpPr txBox="1"/>
      </xdr:nvSpPr>
      <xdr:spPr>
        <a:xfrm>
          <a:off x="6591300" y="7137400"/>
          <a:ext cx="502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241300</xdr:rowOff>
    </xdr:from>
    <xdr:to>
      <xdr:col>3</xdr:col>
      <xdr:colOff>1117600</xdr:colOff>
      <xdr:row>14</xdr:row>
      <xdr:rowOff>558800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D4DD659-7ABD-B549-8E03-BE33156290CC}"/>
            </a:ext>
          </a:extLst>
        </xdr:cNvPr>
        <xdr:cNvSpPr txBox="1"/>
      </xdr:nvSpPr>
      <xdr:spPr>
        <a:xfrm>
          <a:off x="546100" y="8432800"/>
          <a:ext cx="358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14</xdr:row>
      <xdr:rowOff>241300</xdr:rowOff>
    </xdr:from>
    <xdr:to>
      <xdr:col>9</xdr:col>
      <xdr:colOff>12700</xdr:colOff>
      <xdr:row>14</xdr:row>
      <xdr:rowOff>558800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41EEEEB-1772-684E-BB79-E2A0396793CA}"/>
            </a:ext>
          </a:extLst>
        </xdr:cNvPr>
        <xdr:cNvSpPr txBox="1"/>
      </xdr:nvSpPr>
      <xdr:spPr>
        <a:xfrm>
          <a:off x="14147800" y="84328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16</xdr:row>
      <xdr:rowOff>215900</xdr:rowOff>
    </xdr:from>
    <xdr:to>
      <xdr:col>4</xdr:col>
      <xdr:colOff>1231900</xdr:colOff>
      <xdr:row>16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7F5C15E-A53F-354F-A955-65E2D9B55191}"/>
            </a:ext>
          </a:extLst>
        </xdr:cNvPr>
        <xdr:cNvSpPr txBox="1"/>
      </xdr:nvSpPr>
      <xdr:spPr>
        <a:xfrm>
          <a:off x="1803400" y="9677400"/>
          <a:ext cx="491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16</xdr:row>
      <xdr:rowOff>215900</xdr:rowOff>
    </xdr:from>
    <xdr:to>
      <xdr:col>6</xdr:col>
      <xdr:colOff>1206500</xdr:colOff>
      <xdr:row>16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AA9A087-8374-8B49-A35D-D57BBCD225C9}"/>
            </a:ext>
          </a:extLst>
        </xdr:cNvPr>
        <xdr:cNvSpPr txBox="1"/>
      </xdr:nvSpPr>
      <xdr:spPr>
        <a:xfrm>
          <a:off x="6705600" y="967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1143000</xdr:colOff>
      <xdr:row>8</xdr:row>
      <xdr:rowOff>254000</xdr:rowOff>
    </xdr:from>
    <xdr:to>
      <xdr:col>8</xdr:col>
      <xdr:colOff>1143000</xdr:colOff>
      <xdr:row>8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DD18580-BE5D-DF47-8DC0-D6DFCADC35CD}"/>
            </a:ext>
          </a:extLst>
        </xdr:cNvPr>
        <xdr:cNvSpPr txBox="1"/>
      </xdr:nvSpPr>
      <xdr:spPr>
        <a:xfrm>
          <a:off x="11582400" y="4635500"/>
          <a:ext cx="495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1155700</xdr:colOff>
      <xdr:row>8</xdr:row>
      <xdr:rowOff>254000</xdr:rowOff>
    </xdr:from>
    <xdr:to>
      <xdr:col>8</xdr:col>
      <xdr:colOff>2476499</xdr:colOff>
      <xdr:row>8</xdr:row>
      <xdr:rowOff>571499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96F5B59A-8B96-714E-A83B-525DDFB20DD2}"/>
            </a:ext>
          </a:extLst>
        </xdr:cNvPr>
        <xdr:cNvSpPr txBox="1"/>
      </xdr:nvSpPr>
      <xdr:spPr>
        <a:xfrm>
          <a:off x="16548100" y="4635500"/>
          <a:ext cx="1320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6</xdr:col>
      <xdr:colOff>1193800</xdr:colOff>
      <xdr:row>12</xdr:row>
      <xdr:rowOff>215900</xdr:rowOff>
    </xdr:from>
    <xdr:to>
      <xdr:col>8</xdr:col>
      <xdr:colOff>1193800</xdr:colOff>
      <xdr:row>12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12474ED-1786-DB4E-A9C9-B85172E7A9D3}"/>
            </a:ext>
          </a:extLst>
        </xdr:cNvPr>
        <xdr:cNvSpPr txBox="1"/>
      </xdr:nvSpPr>
      <xdr:spPr>
        <a:xfrm>
          <a:off x="11633200" y="71374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1193800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16FA836-8C75-5B4D-A708-6635C2B0CED0}"/>
            </a:ext>
          </a:extLst>
        </xdr:cNvPr>
        <xdr:cNvSpPr txBox="1"/>
      </xdr:nvSpPr>
      <xdr:spPr>
        <a:xfrm>
          <a:off x="16586200" y="7137400"/>
          <a:ext cx="128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1206500</xdr:colOff>
      <xdr:row>16</xdr:row>
      <xdr:rowOff>215900</xdr:rowOff>
    </xdr:from>
    <xdr:to>
      <xdr:col>8</xdr:col>
      <xdr:colOff>1320800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94CCF10-AF4E-F749-BF09-0C5B0A8B6AC3}"/>
            </a:ext>
          </a:extLst>
        </xdr:cNvPr>
        <xdr:cNvSpPr txBox="1"/>
      </xdr:nvSpPr>
      <xdr:spPr>
        <a:xfrm>
          <a:off x="11645900" y="9677400"/>
          <a:ext cx="506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1320800</xdr:colOff>
      <xdr:row>16</xdr:row>
      <xdr:rowOff>215900</xdr:rowOff>
    </xdr:from>
    <xdr:to>
      <xdr:col>9</xdr:col>
      <xdr:colOff>0</xdr:colOff>
      <xdr:row>16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EB171BE-1F72-BD4B-A318-15DE138E03CE}"/>
            </a:ext>
          </a:extLst>
        </xdr:cNvPr>
        <xdr:cNvSpPr txBox="1"/>
      </xdr:nvSpPr>
      <xdr:spPr>
        <a:xfrm>
          <a:off x="16713200" y="9677400"/>
          <a:ext cx="115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zoomScaleNormal="100" workbookViewId="0">
      <pane ySplit="5" topLeftCell="A11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60" t="s">
        <v>40</v>
      </c>
      <c r="D2" s="161"/>
      <c r="E2" s="161"/>
      <c r="F2" s="161"/>
      <c r="G2" s="161"/>
      <c r="H2" s="161"/>
      <c r="I2" s="162"/>
    </row>
    <row r="3" spans="2:9" s="11" customFormat="1" ht="20" customHeight="1" x14ac:dyDescent="0.15">
      <c r="C3" s="12" t="s">
        <v>0</v>
      </c>
      <c r="D3" s="121">
        <v>2025</v>
      </c>
      <c r="E3" s="14" t="s">
        <v>1</v>
      </c>
      <c r="F3" s="13" t="s">
        <v>2</v>
      </c>
      <c r="G3" s="15" t="s">
        <v>3</v>
      </c>
      <c r="H3" s="16"/>
      <c r="I3" s="17"/>
    </row>
    <row r="4" spans="2:9" ht="75" customHeight="1" x14ac:dyDescent="0.65">
      <c r="C4" s="123">
        <f>CalendarYear</f>
        <v>2025</v>
      </c>
      <c r="D4" s="166" t="s">
        <v>4</v>
      </c>
      <c r="E4" s="166"/>
      <c r="F4" s="166"/>
      <c r="G4" s="166"/>
      <c r="H4" s="166"/>
      <c r="I4" s="122"/>
    </row>
    <row r="5" spans="2:9" s="2" customFormat="1" ht="35" customHeight="1" x14ac:dyDescent="0.15">
      <c r="B5" s="71"/>
      <c r="C5" s="8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128">
        <f t="array" ref="C6:I6">DaysAndWeeks+DATE(CalendarYear,1,1)-WEEKDAY(DATE(CalendarYear,1,1),(WeekStart="M")+1)+1</f>
        <v>45655</v>
      </c>
      <c r="D6" s="24">
        <v>45656</v>
      </c>
      <c r="E6" s="24">
        <v>45657</v>
      </c>
      <c r="F6" s="20">
        <v>45658</v>
      </c>
      <c r="G6" s="126">
        <v>45659</v>
      </c>
      <c r="H6" s="20">
        <v>45660</v>
      </c>
      <c r="I6" s="21">
        <v>45661</v>
      </c>
    </row>
    <row r="7" spans="2:9" s="4" customFormat="1" ht="75" customHeight="1" x14ac:dyDescent="0.15">
      <c r="B7" s="64"/>
      <c r="C7" s="157">
        <v>0.625</v>
      </c>
      <c r="D7" s="157"/>
      <c r="E7" s="157">
        <v>0.625</v>
      </c>
      <c r="F7" s="5"/>
      <c r="G7" s="137">
        <v>0.625</v>
      </c>
      <c r="H7" s="110"/>
      <c r="I7" s="137">
        <v>0.625</v>
      </c>
    </row>
    <row r="8" spans="2:9" s="29" customFormat="1" ht="25" customHeight="1" x14ac:dyDescent="0.2">
      <c r="B8" s="66"/>
      <c r="C8" s="129">
        <f t="array" ref="C8:I8">DaysAndWeeks+DATE(CalendarYear,1,1)-WEEKDAY(DATE(CalendarYear,1,1),(WeekStart="M")+1)+8</f>
        <v>45662</v>
      </c>
      <c r="D8" s="125">
        <v>45663</v>
      </c>
      <c r="E8" s="125">
        <v>45664</v>
      </c>
      <c r="F8" s="125">
        <v>45665</v>
      </c>
      <c r="G8" s="19">
        <v>45666</v>
      </c>
      <c r="H8" s="20">
        <v>45667</v>
      </c>
      <c r="I8" s="21">
        <v>45668</v>
      </c>
    </row>
    <row r="9" spans="2:9" s="4" customFormat="1" ht="75" customHeight="1" x14ac:dyDescent="0.15">
      <c r="B9" s="64"/>
      <c r="C9" s="108"/>
      <c r="D9" s="137">
        <v>0.625</v>
      </c>
      <c r="E9" s="137"/>
      <c r="F9" s="137">
        <v>0.625</v>
      </c>
      <c r="G9" s="137"/>
      <c r="H9" s="137">
        <v>0.625</v>
      </c>
      <c r="I9" s="6"/>
    </row>
    <row r="10" spans="2:9" s="29" customFormat="1" ht="25" customHeight="1" x14ac:dyDescent="0.2">
      <c r="B10" s="66"/>
      <c r="C10" s="18">
        <f t="array" ref="C10:I10">DaysAndWeeks+DATE(CalendarYear,1,1)-WEEKDAY(DATE(CalendarYear,1,1),(WeekStart="M")+1)+15</f>
        <v>45669</v>
      </c>
      <c r="D10" s="19">
        <v>45670</v>
      </c>
      <c r="E10" s="19">
        <v>45671</v>
      </c>
      <c r="F10" s="19">
        <v>45672</v>
      </c>
      <c r="G10" s="22">
        <v>45673</v>
      </c>
      <c r="H10" s="23">
        <v>45674</v>
      </c>
      <c r="I10" s="21">
        <v>45675</v>
      </c>
    </row>
    <row r="11" spans="2:9" s="4" customFormat="1" ht="75" customHeight="1" x14ac:dyDescent="0.15">
      <c r="B11" s="64"/>
      <c r="C11" s="137">
        <v>0.625</v>
      </c>
      <c r="D11" s="137"/>
      <c r="E11" s="137">
        <v>0.625</v>
      </c>
      <c r="F11" s="7"/>
      <c r="G11" s="137">
        <v>0.625</v>
      </c>
      <c r="H11" s="110"/>
      <c r="I11" s="137">
        <v>0.625</v>
      </c>
    </row>
    <row r="12" spans="2:9" s="29" customFormat="1" ht="25" customHeight="1" x14ac:dyDescent="0.2">
      <c r="B12" s="66"/>
      <c r="C12" s="18">
        <f t="array" ref="C12:I12">DaysAndWeeks+DATE(CalendarYear,1,1)-WEEKDAY(DATE(CalendarYear,1,1),(WeekStart="M")+1)+22</f>
        <v>45676</v>
      </c>
      <c r="D12" s="19">
        <v>45677</v>
      </c>
      <c r="E12" s="19">
        <v>45678</v>
      </c>
      <c r="F12" s="19">
        <v>45679</v>
      </c>
      <c r="G12" s="19">
        <v>45680</v>
      </c>
      <c r="H12" s="20">
        <v>45681</v>
      </c>
      <c r="I12" s="21">
        <v>45682</v>
      </c>
    </row>
    <row r="13" spans="2:9" s="4" customFormat="1" ht="75" customHeight="1" x14ac:dyDescent="0.15">
      <c r="B13" s="64"/>
      <c r="C13" s="108"/>
      <c r="D13" s="137">
        <v>0.625</v>
      </c>
      <c r="E13" s="137"/>
      <c r="F13" s="137">
        <v>0.625</v>
      </c>
      <c r="H13" s="137">
        <v>0.625</v>
      </c>
      <c r="I13" s="6"/>
    </row>
    <row r="14" spans="2:9" s="29" customFormat="1" ht="25" customHeight="1" x14ac:dyDescent="0.2">
      <c r="B14" s="66"/>
      <c r="C14" s="18">
        <f t="array" ref="C14:I14">DaysAndWeeks+DATE(CalendarYear,1,1)-WEEKDAY(DATE(CalendarYear,1,1),(WeekStart="M")+1)+29</f>
        <v>45683</v>
      </c>
      <c r="D14" s="19">
        <v>45684</v>
      </c>
      <c r="E14" s="19">
        <v>45685</v>
      </c>
      <c r="F14" s="19">
        <v>45686</v>
      </c>
      <c r="G14" s="19">
        <v>45687</v>
      </c>
      <c r="H14" s="19">
        <v>45688</v>
      </c>
      <c r="I14" s="25">
        <v>45689</v>
      </c>
    </row>
    <row r="15" spans="2:9" s="4" customFormat="1" ht="75" customHeight="1" x14ac:dyDescent="0.15">
      <c r="B15" s="64"/>
      <c r="C15" s="108"/>
      <c r="D15" s="137">
        <v>0.625</v>
      </c>
      <c r="E15" s="109"/>
      <c r="F15" s="137">
        <v>0.625</v>
      </c>
      <c r="G15" s="138"/>
      <c r="H15" s="137">
        <v>0.625</v>
      </c>
      <c r="I15" s="127"/>
    </row>
    <row r="16" spans="2:9" s="29" customFormat="1" ht="25" customHeight="1" x14ac:dyDescent="0.2">
      <c r="B16" s="66"/>
      <c r="C16" s="128">
        <f t="array" ref="C16:I16">DaysAndWeeks+DATE(CalendarYear,1,1)-WEEKDAY(DATE(CalendarYear,1,1),(WeekStart="M")+1)+36</f>
        <v>45690</v>
      </c>
      <c r="D16" s="24">
        <v>45691</v>
      </c>
      <c r="E16" s="24">
        <v>45692</v>
      </c>
      <c r="F16" s="24">
        <v>45693</v>
      </c>
      <c r="G16" s="24">
        <v>45694</v>
      </c>
      <c r="H16" s="24">
        <v>45695</v>
      </c>
      <c r="I16" s="25">
        <v>45696</v>
      </c>
    </row>
    <row r="17" spans="2:9" s="4" customFormat="1" ht="75" customHeight="1" x14ac:dyDescent="0.2">
      <c r="B17" s="64"/>
      <c r="C17" s="157">
        <v>0.625</v>
      </c>
      <c r="D17" s="130"/>
      <c r="E17" s="157">
        <v>0.625</v>
      </c>
      <c r="F17" s="3"/>
      <c r="G17" s="157">
        <v>0.625</v>
      </c>
      <c r="H17" s="141"/>
      <c r="I17" s="157">
        <v>0.625</v>
      </c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66" customHeight="1" x14ac:dyDescent="0.15">
      <c r="C21" s="4"/>
      <c r="D21" s="4"/>
      <c r="E21" s="4"/>
      <c r="F21" s="4"/>
      <c r="G21" s="4"/>
      <c r="H21" s="4"/>
      <c r="I21" s="4"/>
    </row>
    <row r="22" spans="2:9" ht="15" customHeight="1" x14ac:dyDescent="0.15">
      <c r="C22" s="4"/>
    </row>
  </sheetData>
  <dataConsolidate/>
  <mergeCells count="3">
    <mergeCell ref="C2:I2"/>
    <mergeCell ref="C18:I18"/>
    <mergeCell ref="D4:H4"/>
  </mergeCells>
  <conditionalFormatting sqref="C6:H6">
    <cfRule type="expression" dxfId="40" priority="6">
      <formula>DAY(C6)&gt;8</formula>
    </cfRule>
  </conditionalFormatting>
  <conditionalFormatting sqref="C8:H8">
    <cfRule type="expression" dxfId="39" priority="2">
      <formula>DAY(C8)&gt;8</formula>
    </cfRule>
  </conditionalFormatting>
  <conditionalFormatting sqref="C14:I14 C16:I16 F17 C18">
    <cfRule type="expression" dxfId="38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B15" sqref="B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15">
      <c r="B3" s="65"/>
      <c r="C3" s="43"/>
      <c r="D3" s="27"/>
      <c r="E3" s="27"/>
      <c r="F3" s="27"/>
      <c r="G3" s="43" t="s">
        <v>6</v>
      </c>
      <c r="H3" s="43" t="s">
        <v>7</v>
      </c>
      <c r="I3" s="78"/>
    </row>
    <row r="4" spans="2:9" ht="75" customHeight="1" x14ac:dyDescent="0.65">
      <c r="B4" s="65"/>
      <c r="C4" s="123">
        <f>CalendarYear</f>
        <v>2025</v>
      </c>
      <c r="D4" s="167" t="s">
        <v>8</v>
      </c>
      <c r="E4" s="167"/>
      <c r="F4" s="167"/>
      <c r="G4" s="167"/>
      <c r="H4" s="167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31" customFormat="1" ht="25" customHeight="1" x14ac:dyDescent="0.2">
      <c r="B6" s="68"/>
      <c r="C6" s="45">
        <f t="array" ref="C6:I6">DaysAndWeeks+DATE(CalendarYear,2,1)-WEEKDAY(DATE(CalendarYear,2,1),(WeekStart="M")+1)+1</f>
        <v>45683</v>
      </c>
      <c r="D6" s="36">
        <v>45684</v>
      </c>
      <c r="E6" s="32">
        <v>45685</v>
      </c>
      <c r="F6" s="32">
        <v>45686</v>
      </c>
      <c r="G6" s="32">
        <v>45687</v>
      </c>
      <c r="H6" s="32">
        <v>45688</v>
      </c>
      <c r="I6" s="99">
        <v>45689</v>
      </c>
    </row>
    <row r="7" spans="2:9" s="4" customFormat="1" ht="75" customHeight="1" x14ac:dyDescent="0.15">
      <c r="B7" s="64"/>
      <c r="C7" s="44"/>
      <c r="D7" s="119">
        <v>0.625</v>
      </c>
      <c r="E7" s="130"/>
      <c r="F7" s="119">
        <v>0.625</v>
      </c>
      <c r="G7" s="156"/>
      <c r="H7" s="119" t="s">
        <v>39</v>
      </c>
      <c r="I7" s="100"/>
    </row>
    <row r="8" spans="2:9" s="31" customFormat="1" ht="25" customHeight="1" x14ac:dyDescent="0.2">
      <c r="B8" s="68"/>
      <c r="C8" s="103">
        <f t="array" ref="C8:I8">DaysAndWeeks+DATE(CalendarYear,2,1)-WEEKDAY(DATE(CalendarYear,2,1),(WeekStart="M")+1)+8</f>
        <v>45690</v>
      </c>
      <c r="D8" s="98">
        <v>45691</v>
      </c>
      <c r="E8" s="101">
        <v>45692</v>
      </c>
      <c r="F8" s="101">
        <v>45693</v>
      </c>
      <c r="G8" s="101">
        <v>45694</v>
      </c>
      <c r="H8" s="101">
        <v>45695</v>
      </c>
      <c r="I8" s="99">
        <v>45696</v>
      </c>
    </row>
    <row r="9" spans="2:9" s="48" customFormat="1" ht="75" customHeight="1" x14ac:dyDescent="0.15">
      <c r="B9" s="73"/>
      <c r="C9" s="158">
        <v>0.625</v>
      </c>
      <c r="D9" s="158"/>
      <c r="E9" s="158">
        <v>0.625</v>
      </c>
      <c r="F9" s="102"/>
      <c r="G9" s="158">
        <v>0.625</v>
      </c>
      <c r="H9" s="112"/>
      <c r="I9" s="158">
        <v>0.625</v>
      </c>
    </row>
    <row r="10" spans="2:9" s="31" customFormat="1" ht="25" customHeight="1" x14ac:dyDescent="0.2">
      <c r="B10" s="68"/>
      <c r="C10" s="103">
        <f t="array" ref="C10:I10">DaysAndWeeks+DATE(CalendarYear,2,1)-WEEKDAY(DATE(CalendarYear,2,1),(WeekStart="M")+1)+15</f>
        <v>45697</v>
      </c>
      <c r="D10" s="98">
        <v>45698</v>
      </c>
      <c r="E10" s="98">
        <v>45699</v>
      </c>
      <c r="F10" s="98">
        <v>45700</v>
      </c>
      <c r="G10" s="98">
        <v>45701</v>
      </c>
      <c r="H10" s="98">
        <v>45702</v>
      </c>
      <c r="I10" s="99">
        <v>45703</v>
      </c>
    </row>
    <row r="11" spans="2:9" s="48" customFormat="1" ht="75" customHeight="1" x14ac:dyDescent="0.15">
      <c r="B11" s="73"/>
      <c r="C11" s="111"/>
      <c r="D11" s="112">
        <v>0.625</v>
      </c>
      <c r="E11" s="112"/>
      <c r="F11" s="158">
        <v>0.625</v>
      </c>
      <c r="H11" s="158">
        <v>0.625</v>
      </c>
      <c r="I11" s="74"/>
    </row>
    <row r="12" spans="2:9" s="29" customFormat="1" ht="25" customHeight="1" x14ac:dyDescent="0.2">
      <c r="B12" s="66"/>
      <c r="C12" s="103">
        <f t="array" ref="C12:I12">DaysAndWeeks+DATE(CalendarYear,2,1)-WEEKDAY(DATE(CalendarYear,2,1),(WeekStart="M")+1)+22</f>
        <v>45704</v>
      </c>
      <c r="D12" s="98">
        <v>45705</v>
      </c>
      <c r="E12" s="98">
        <v>45706</v>
      </c>
      <c r="F12" s="98">
        <v>45707</v>
      </c>
      <c r="G12" s="98">
        <v>45708</v>
      </c>
      <c r="H12" s="98">
        <v>45709</v>
      </c>
      <c r="I12" s="99">
        <v>45710</v>
      </c>
    </row>
    <row r="13" spans="2:9" s="48" customFormat="1" ht="75" customHeight="1" x14ac:dyDescent="0.15">
      <c r="B13" s="73"/>
      <c r="C13" s="158">
        <v>0.625</v>
      </c>
      <c r="D13" s="112"/>
      <c r="E13" s="112">
        <v>0.625</v>
      </c>
      <c r="F13" s="47"/>
      <c r="G13" s="158">
        <v>0.625</v>
      </c>
      <c r="H13" s="112"/>
      <c r="I13" s="158">
        <v>0.625</v>
      </c>
    </row>
    <row r="14" spans="2:9" s="29" customFormat="1" ht="25" customHeight="1" x14ac:dyDescent="0.2">
      <c r="B14" s="66"/>
      <c r="C14" s="103">
        <f t="array" ref="C14:I14">DaysAndWeeks+DATE(CalendarYear,2,1)-WEEKDAY(DATE(CalendarYear,2,1),(WeekStart="M")+1)+29</f>
        <v>45711</v>
      </c>
      <c r="D14" s="98">
        <v>45712</v>
      </c>
      <c r="E14" s="131">
        <v>45713</v>
      </c>
      <c r="F14" s="140">
        <v>45714</v>
      </c>
      <c r="G14" s="140">
        <v>45715</v>
      </c>
      <c r="H14" s="140">
        <v>45716</v>
      </c>
      <c r="I14" s="75">
        <v>45717</v>
      </c>
    </row>
    <row r="15" spans="2:9" s="48" customFormat="1" ht="75" customHeight="1" x14ac:dyDescent="0.15">
      <c r="B15" s="73"/>
      <c r="C15" s="111"/>
      <c r="D15" s="112">
        <v>0.625</v>
      </c>
      <c r="E15" s="132"/>
      <c r="F15" s="158">
        <v>0.625</v>
      </c>
      <c r="G15" s="139"/>
      <c r="H15" s="158">
        <v>0.625</v>
      </c>
      <c r="I15" s="76"/>
    </row>
    <row r="16" spans="2:9" s="29" customFormat="1" ht="25" customHeight="1" x14ac:dyDescent="0.2">
      <c r="B16" s="66"/>
      <c r="C16" s="72">
        <f t="array" ref="C16:I16">DaysAndWeeks+DATE(CalendarYear,2,1)-WEEKDAY(DATE(CalendarYear,2,1),(WeekStart="M")+1)+36</f>
        <v>45718</v>
      </c>
      <c r="D16" s="35">
        <v>45719</v>
      </c>
      <c r="E16" s="35">
        <v>45720</v>
      </c>
      <c r="F16" s="35">
        <v>45721</v>
      </c>
      <c r="G16" s="35">
        <v>45722</v>
      </c>
      <c r="H16" s="35">
        <v>45723</v>
      </c>
      <c r="I16" s="77">
        <v>45724</v>
      </c>
    </row>
    <row r="17" spans="2:9" s="4" customFormat="1" ht="75" customHeight="1" x14ac:dyDescent="0.15">
      <c r="B17" s="64"/>
      <c r="C17" s="159">
        <v>0.625</v>
      </c>
      <c r="D17" s="119"/>
      <c r="E17" s="119">
        <v>0.625</v>
      </c>
      <c r="F17" s="159"/>
      <c r="G17" s="159">
        <v>0.625</v>
      </c>
      <c r="H17" s="159"/>
      <c r="I17" s="159">
        <v>0.625</v>
      </c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  <row r="22" spans="2:9" x14ac:dyDescent="0.15">
      <c r="C22" s="4"/>
    </row>
  </sheetData>
  <mergeCells count="3">
    <mergeCell ref="C18:I18"/>
    <mergeCell ref="C2:I2"/>
    <mergeCell ref="D4:H4"/>
  </mergeCells>
  <conditionalFormatting sqref="C18">
    <cfRule type="expression" dxfId="37" priority="3">
      <formula>AND(DAY(C18)&gt;=1,DAY(C18)&lt;=15)</formula>
    </cfRule>
  </conditionalFormatting>
  <conditionalFormatting sqref="C6:D6">
    <cfRule type="expression" dxfId="36" priority="6">
      <formula>DAY(C6)&gt;8</formula>
    </cfRule>
  </conditionalFormatting>
  <conditionalFormatting sqref="C8:E8">
    <cfRule type="expression" dxfId="35" priority="4">
      <formula>DAY(C8)&gt;8</formula>
    </cfRule>
  </conditionalFormatting>
  <conditionalFormatting sqref="C14:I14 C15 G15 I15 C16:I16">
    <cfRule type="expression" dxfId="34" priority="7">
      <formula>AND(DAY(C14)&gt;=1,DAY(C14)&lt;=15)</formula>
    </cfRule>
  </conditionalFormatting>
  <conditionalFormatting sqref="E6:I6">
    <cfRule type="expression" dxfId="33" priority="8">
      <formula>DAY(E6)&gt;8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I14" sqref="I1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15">
      <c r="B3" s="65"/>
      <c r="C3" s="28"/>
      <c r="D3" s="26"/>
      <c r="E3" s="26"/>
      <c r="F3" s="27"/>
      <c r="G3" s="43" t="s">
        <v>9</v>
      </c>
      <c r="H3" s="43" t="s">
        <v>10</v>
      </c>
      <c r="I3" s="82"/>
    </row>
    <row r="4" spans="2:9" ht="75" customHeight="1" x14ac:dyDescent="0.65">
      <c r="B4" s="65"/>
      <c r="C4" s="123">
        <f>CalendarYear</f>
        <v>2025</v>
      </c>
      <c r="D4" s="167" t="s">
        <v>11</v>
      </c>
      <c r="E4" s="167"/>
      <c r="F4" s="167"/>
      <c r="G4" s="167"/>
      <c r="H4" s="167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57">
        <f t="array" ref="C6:I6">DaysAndWeeks+DATE(CalendarYear,3,1)-WEEKDAY(DATE(CalendarYear,3,1),(WeekStart="M")+1)+1</f>
        <v>45711</v>
      </c>
      <c r="D6" s="32">
        <v>45712</v>
      </c>
      <c r="E6" s="32">
        <v>45713</v>
      </c>
      <c r="F6" s="32">
        <v>45714</v>
      </c>
      <c r="G6" s="32">
        <v>45715</v>
      </c>
      <c r="H6" s="32">
        <v>45716</v>
      </c>
      <c r="I6" s="60">
        <v>45717</v>
      </c>
    </row>
    <row r="7" spans="2:9" s="48" customFormat="1" ht="75" customHeight="1" x14ac:dyDescent="0.15">
      <c r="B7" s="73"/>
      <c r="C7" s="83"/>
      <c r="D7" s="119">
        <v>0.625</v>
      </c>
      <c r="E7" s="119"/>
      <c r="F7" s="119">
        <v>0.625</v>
      </c>
      <c r="G7" s="142"/>
      <c r="H7" s="119">
        <v>0.625</v>
      </c>
      <c r="I7" s="74"/>
    </row>
    <row r="8" spans="2:9" s="29" customFormat="1" ht="25" customHeight="1" x14ac:dyDescent="0.2">
      <c r="B8" s="66"/>
      <c r="C8" s="33">
        <f t="array" ref="C8:I8">DaysAndWeeks+DATE(CalendarYear,3,1)-WEEKDAY(DATE(CalendarYear,3,1),(WeekStart="M")+1)+8</f>
        <v>45718</v>
      </c>
      <c r="D8" s="30">
        <v>45719</v>
      </c>
      <c r="E8" s="30">
        <v>45720</v>
      </c>
      <c r="F8" s="30">
        <v>45721</v>
      </c>
      <c r="G8" s="33">
        <v>45722</v>
      </c>
      <c r="H8" s="30">
        <v>45723</v>
      </c>
      <c r="I8" s="60">
        <v>45724</v>
      </c>
    </row>
    <row r="9" spans="2:9" s="48" customFormat="1" ht="75" customHeight="1" x14ac:dyDescent="0.15">
      <c r="B9" s="73"/>
      <c r="C9" s="151">
        <v>0.625</v>
      </c>
      <c r="D9" s="112"/>
      <c r="E9" s="112">
        <v>0.625</v>
      </c>
      <c r="F9" s="47"/>
      <c r="G9" s="151">
        <v>0.625</v>
      </c>
      <c r="H9" s="112"/>
      <c r="I9" s="151">
        <v>0.625</v>
      </c>
    </row>
    <row r="10" spans="2:9" s="29" customFormat="1" ht="25" customHeight="1" x14ac:dyDescent="0.2">
      <c r="B10" s="66"/>
      <c r="C10" s="33">
        <f t="array" ref="C10:I10">DaysAndWeeks+DATE(CalendarYear,3,1)-WEEKDAY(DATE(CalendarYear,3,1),(WeekStart="M")+1)+15</f>
        <v>45725</v>
      </c>
      <c r="D10" s="30">
        <v>45726</v>
      </c>
      <c r="E10" s="30">
        <v>45727</v>
      </c>
      <c r="F10" s="30">
        <v>45728</v>
      </c>
      <c r="G10" s="30">
        <v>45729</v>
      </c>
      <c r="H10" s="30">
        <v>45730</v>
      </c>
      <c r="I10" s="60">
        <v>45731</v>
      </c>
    </row>
    <row r="11" spans="2:9" s="48" customFormat="1" ht="75" customHeight="1" x14ac:dyDescent="0.15">
      <c r="B11" s="73"/>
      <c r="C11" s="111"/>
      <c r="D11" s="112">
        <v>0.625</v>
      </c>
      <c r="E11" s="112"/>
      <c r="F11" s="151">
        <v>0.625</v>
      </c>
      <c r="H11" s="151">
        <v>0.625</v>
      </c>
      <c r="I11" s="74"/>
    </row>
    <row r="12" spans="2:9" s="29" customFormat="1" ht="25" customHeight="1" x14ac:dyDescent="0.2">
      <c r="B12" s="66"/>
      <c r="C12" s="33">
        <f t="array" ref="C12:I12">DaysAndWeeks+DATE(CalendarYear,3,1)-WEEKDAY(DATE(CalendarYear,3,1),(WeekStart="M")+1)+22</f>
        <v>45732</v>
      </c>
      <c r="D12" s="30">
        <v>45733</v>
      </c>
      <c r="E12" s="30">
        <v>45734</v>
      </c>
      <c r="F12" s="30">
        <v>45735</v>
      </c>
      <c r="G12" s="30">
        <v>45736</v>
      </c>
      <c r="H12" s="34">
        <v>45737</v>
      </c>
      <c r="I12" s="79">
        <v>45738</v>
      </c>
    </row>
    <row r="13" spans="2:9" s="48" customFormat="1" ht="75" customHeight="1" x14ac:dyDescent="0.15">
      <c r="B13" s="73"/>
      <c r="C13" s="151">
        <v>0.625</v>
      </c>
      <c r="D13" s="112"/>
      <c r="E13" s="112">
        <v>0.625</v>
      </c>
      <c r="F13" s="47"/>
      <c r="G13" s="151">
        <v>0.625</v>
      </c>
      <c r="H13" s="112"/>
      <c r="I13" s="151">
        <v>0.625</v>
      </c>
    </row>
    <row r="14" spans="2:9" s="29" customFormat="1" ht="25" customHeight="1" x14ac:dyDescent="0.2">
      <c r="B14" s="66"/>
      <c r="C14" s="39">
        <f t="array" ref="C14:I14">DaysAndWeeks+DATE(CalendarYear,3,1)-WEEKDAY(DATE(CalendarYear,3,1),(WeekStart="M")+1)+29</f>
        <v>45739</v>
      </c>
      <c r="D14" s="30">
        <v>45740</v>
      </c>
      <c r="E14" s="30">
        <v>45741</v>
      </c>
      <c r="F14" s="30">
        <v>45742</v>
      </c>
      <c r="G14" s="39">
        <v>45743</v>
      </c>
      <c r="H14" s="103">
        <v>45744</v>
      </c>
      <c r="I14" s="143">
        <v>45745</v>
      </c>
    </row>
    <row r="15" spans="2:9" s="48" customFormat="1" ht="75" customHeight="1" x14ac:dyDescent="0.15">
      <c r="B15" s="73"/>
      <c r="C15" s="111"/>
      <c r="D15" s="112">
        <v>0.625</v>
      </c>
      <c r="E15" s="112"/>
      <c r="F15" s="151">
        <v>0.625</v>
      </c>
      <c r="H15" s="151">
        <v>0.625</v>
      </c>
      <c r="I15" s="144"/>
    </row>
    <row r="16" spans="2:9" s="29" customFormat="1" ht="25" customHeight="1" x14ac:dyDescent="0.2">
      <c r="B16" s="66"/>
      <c r="C16" s="145">
        <f t="array" ref="C16:I16">DaysAndWeeks+DATE(CalendarYear,3,1)-WEEKDAY(DATE(CalendarYear,3,1),(WeekStart="M")+1)+36</f>
        <v>45746</v>
      </c>
      <c r="D16" s="125">
        <v>45747</v>
      </c>
      <c r="E16" s="32">
        <v>45748</v>
      </c>
      <c r="F16" s="32">
        <v>45749</v>
      </c>
      <c r="G16" s="32">
        <v>45750</v>
      </c>
      <c r="H16" s="32">
        <v>45751</v>
      </c>
      <c r="I16" s="62">
        <v>45752</v>
      </c>
    </row>
    <row r="17" spans="2:9" s="4" customFormat="1" ht="75" customHeight="1" x14ac:dyDescent="0.15">
      <c r="B17" s="64"/>
      <c r="C17" s="151">
        <v>0.625</v>
      </c>
      <c r="D17" s="112"/>
      <c r="E17" s="119">
        <v>0.625</v>
      </c>
      <c r="F17" s="37"/>
      <c r="G17" s="119">
        <v>0.625</v>
      </c>
      <c r="H17" s="146"/>
      <c r="I17" s="119">
        <v>0.625</v>
      </c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18:I18"/>
    <mergeCell ref="C2:I2"/>
    <mergeCell ref="D4:H4"/>
  </mergeCells>
  <conditionalFormatting sqref="C7">
    <cfRule type="expression" dxfId="32" priority="1">
      <formula>AND(DAY(C7)&gt;=1,DAY(C7)&lt;=15)</formula>
    </cfRule>
  </conditionalFormatting>
  <conditionalFormatting sqref="C18">
    <cfRule type="expression" dxfId="31" priority="2">
      <formula>AND(DAY(C18)&gt;=1,DAY(C18)&lt;=15)</formula>
    </cfRule>
  </conditionalFormatting>
  <conditionalFormatting sqref="C6:H6">
    <cfRule type="expression" dxfId="30" priority="4">
      <formula>DAY(C6)&gt;8</formula>
    </cfRule>
  </conditionalFormatting>
  <conditionalFormatting sqref="C14:I14 C15 E15 I15 C16:I16 F17 H17">
    <cfRule type="expression" dxfId="29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7" sqref="C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15">
      <c r="B3" s="65"/>
      <c r="C3" s="15"/>
      <c r="D3" s="15"/>
      <c r="E3" s="40"/>
      <c r="F3" s="40"/>
      <c r="G3" s="15" t="s">
        <v>12</v>
      </c>
      <c r="H3" s="15" t="s">
        <v>13</v>
      </c>
      <c r="I3" s="85"/>
    </row>
    <row r="4" spans="2:9" ht="75" customHeight="1" x14ac:dyDescent="0.65">
      <c r="B4" s="65"/>
      <c r="C4" s="123">
        <f>CalendarYear</f>
        <v>2025</v>
      </c>
      <c r="D4" s="171" t="s">
        <v>14</v>
      </c>
      <c r="E4" s="171"/>
      <c r="F4" s="171"/>
      <c r="G4" s="171"/>
      <c r="H4" s="171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38">
        <f t="array" ref="C6:I6">DaysAndWeeks+DATE(CalendarYear,4,1)-WEEKDAY(DATE(CalendarYear,4,1),(WeekStart="M")+1)+1</f>
        <v>45746</v>
      </c>
      <c r="D6" s="32">
        <v>45747</v>
      </c>
      <c r="E6" s="125">
        <v>45748</v>
      </c>
      <c r="F6" s="125">
        <v>45749</v>
      </c>
      <c r="G6" s="125">
        <v>45750</v>
      </c>
      <c r="H6" s="125">
        <v>45751</v>
      </c>
      <c r="I6" s="60">
        <v>45752</v>
      </c>
    </row>
    <row r="7" spans="2:9" s="48" customFormat="1" ht="75" customHeight="1" x14ac:dyDescent="0.15">
      <c r="B7" s="73"/>
      <c r="C7" s="146">
        <v>0.625</v>
      </c>
      <c r="D7" s="146"/>
      <c r="E7" s="111">
        <v>0.625</v>
      </c>
      <c r="F7" s="139"/>
      <c r="G7" s="111">
        <v>0.625</v>
      </c>
      <c r="H7" s="111"/>
      <c r="I7" s="111">
        <v>0.625</v>
      </c>
    </row>
    <row r="8" spans="2:9" s="29" customFormat="1" ht="25" customHeight="1" x14ac:dyDescent="0.2">
      <c r="B8" s="66"/>
      <c r="C8" s="33">
        <f t="array" ref="C8:I8">DaysAndWeeks+DATE(CalendarYear,4,1)-WEEKDAY(DATE(CalendarYear,4,1),(WeekStart="M")+1)+8</f>
        <v>45753</v>
      </c>
      <c r="D8" s="30">
        <v>45754</v>
      </c>
      <c r="E8" s="30">
        <v>45755</v>
      </c>
      <c r="F8" s="30">
        <v>45756</v>
      </c>
      <c r="G8" s="30">
        <v>45757</v>
      </c>
      <c r="H8" s="30">
        <v>45758</v>
      </c>
      <c r="I8" s="60">
        <v>45759</v>
      </c>
    </row>
    <row r="9" spans="2:9" s="48" customFormat="1" ht="75" customHeight="1" x14ac:dyDescent="0.15">
      <c r="B9" s="73"/>
      <c r="D9" s="111">
        <v>0.625</v>
      </c>
      <c r="E9" s="112"/>
      <c r="F9" s="111">
        <v>0.625</v>
      </c>
      <c r="H9" s="111">
        <v>0.625</v>
      </c>
      <c r="I9" s="74"/>
    </row>
    <row r="10" spans="2:9" s="29" customFormat="1" ht="25" customHeight="1" x14ac:dyDescent="0.2">
      <c r="B10" s="66"/>
      <c r="C10" s="33">
        <f t="array" ref="C10:I10">DaysAndWeeks+DATE(CalendarYear,4,1)-WEEKDAY(DATE(CalendarYear,4,1),(WeekStart="M")+1)+15</f>
        <v>45760</v>
      </c>
      <c r="D10" s="30">
        <v>45761</v>
      </c>
      <c r="E10" s="30">
        <v>45762</v>
      </c>
      <c r="F10" s="30">
        <v>45763</v>
      </c>
      <c r="G10" s="30">
        <v>45764</v>
      </c>
      <c r="H10" s="30">
        <v>45765</v>
      </c>
      <c r="I10" s="60">
        <v>45766</v>
      </c>
    </row>
    <row r="11" spans="2:9" s="48" customFormat="1" ht="75" customHeight="1" x14ac:dyDescent="0.15">
      <c r="B11" s="73"/>
      <c r="C11" s="111">
        <v>0.625</v>
      </c>
      <c r="D11" s="111"/>
      <c r="E11" s="111">
        <v>0.625</v>
      </c>
      <c r="F11" s="47"/>
      <c r="G11" s="111">
        <v>0.625</v>
      </c>
      <c r="H11" s="112"/>
      <c r="I11" s="111">
        <v>0.625</v>
      </c>
    </row>
    <row r="12" spans="2:9" s="29" customFormat="1" ht="25" customHeight="1" x14ac:dyDescent="0.2">
      <c r="B12" s="66"/>
      <c r="C12" s="33">
        <f t="array" ref="C12:I12">DaysAndWeeks+DATE(CalendarYear,4,1)-WEEKDAY(DATE(CalendarYear,4,1),(WeekStart="M")+1)+22</f>
        <v>45767</v>
      </c>
      <c r="D12" s="30">
        <v>45768</v>
      </c>
      <c r="E12" s="30">
        <v>45769</v>
      </c>
      <c r="F12" s="30">
        <v>45770</v>
      </c>
      <c r="G12" s="30">
        <v>45771</v>
      </c>
      <c r="H12" s="30">
        <v>45772</v>
      </c>
      <c r="I12" s="60">
        <v>45773</v>
      </c>
    </row>
    <row r="13" spans="2:9" s="48" customFormat="1" ht="75" customHeight="1" x14ac:dyDescent="0.15">
      <c r="B13" s="73"/>
      <c r="C13" s="111"/>
      <c r="D13" s="111">
        <v>0.625</v>
      </c>
      <c r="E13" s="112"/>
      <c r="F13" s="111">
        <v>0.625</v>
      </c>
      <c r="H13" s="111">
        <v>0.625</v>
      </c>
      <c r="I13" s="74"/>
    </row>
    <row r="14" spans="2:9" s="29" customFormat="1" ht="25" customHeight="1" x14ac:dyDescent="0.2">
      <c r="B14" s="66"/>
      <c r="C14" s="33">
        <f t="array" ref="C14:I14">DaysAndWeeks+DATE(CalendarYear,4,1)-WEEKDAY(DATE(CalendarYear,4,1),(WeekStart="M")+1)+29</f>
        <v>45774</v>
      </c>
      <c r="D14" s="30">
        <v>45775</v>
      </c>
      <c r="E14" s="30">
        <v>45776</v>
      </c>
      <c r="F14" s="30">
        <v>45777</v>
      </c>
      <c r="G14" s="32">
        <v>45778</v>
      </c>
      <c r="H14" s="32">
        <v>45779</v>
      </c>
      <c r="I14" s="62">
        <v>45780</v>
      </c>
    </row>
    <row r="15" spans="2:9" s="48" customFormat="1" ht="75" customHeight="1" x14ac:dyDescent="0.15">
      <c r="B15" s="73"/>
      <c r="C15" s="111">
        <v>0.625</v>
      </c>
      <c r="D15" s="111"/>
      <c r="E15" s="111">
        <v>0.625</v>
      </c>
      <c r="F15" s="47"/>
      <c r="G15" s="146">
        <v>0.625</v>
      </c>
      <c r="H15" s="119"/>
      <c r="I15" s="146">
        <v>0.625</v>
      </c>
    </row>
    <row r="16" spans="2:9" s="29" customFormat="1" ht="25" customHeight="1" x14ac:dyDescent="0.2">
      <c r="B16" s="66"/>
      <c r="C16" s="147">
        <f t="array" ref="C16:I16">DaysAndWeeks+DATE(CalendarYear,4,1)-WEEKDAY(DATE(CalendarYear,4,1),(WeekStart="M")+1)+36</f>
        <v>45781</v>
      </c>
      <c r="D16" s="46">
        <v>45782</v>
      </c>
      <c r="E16" s="46">
        <v>45783</v>
      </c>
      <c r="F16" s="46">
        <v>45784</v>
      </c>
      <c r="G16" s="46">
        <v>45785</v>
      </c>
      <c r="H16" s="46">
        <v>45786</v>
      </c>
      <c r="I16" s="84">
        <v>45787</v>
      </c>
    </row>
    <row r="17" spans="2:9" s="4" customFormat="1" ht="75" customHeight="1" x14ac:dyDescent="0.15">
      <c r="B17" s="64"/>
      <c r="C17" s="119"/>
      <c r="D17" s="146">
        <v>0.625</v>
      </c>
      <c r="E17" s="37"/>
      <c r="F17" s="146">
        <v>0.625</v>
      </c>
      <c r="G17" s="37"/>
      <c r="H17" s="146">
        <v>0.625</v>
      </c>
      <c r="I17" s="81"/>
    </row>
    <row r="18" spans="2:9" ht="125" customHeight="1" thickBot="1" x14ac:dyDescent="0.2">
      <c r="B18" s="65"/>
      <c r="C18" s="168" t="s">
        <v>5</v>
      </c>
      <c r="D18" s="169"/>
      <c r="E18" s="169"/>
      <c r="F18" s="169"/>
      <c r="G18" s="169"/>
      <c r="H18" s="169"/>
      <c r="I18" s="170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18:I18"/>
    <mergeCell ref="C2:I2"/>
    <mergeCell ref="D4:H4"/>
  </mergeCells>
  <conditionalFormatting sqref="C17:C18">
    <cfRule type="expression" dxfId="28" priority="4">
      <formula>AND(DAY(C17)&gt;=1,DAY(C17)&lt;=15)</formula>
    </cfRule>
  </conditionalFormatting>
  <conditionalFormatting sqref="C6:H6">
    <cfRule type="expression" dxfId="27" priority="9">
      <formula>DAY(C6)&gt;8</formula>
    </cfRule>
  </conditionalFormatting>
  <conditionalFormatting sqref="C14:I14 F15 H15 C16:I16 E17 G17 I17">
    <cfRule type="expression" dxfId="26" priority="8">
      <formula>AND(DAY(C14)&gt;=1,DAY(C14)&lt;=15)</formula>
    </cfRule>
  </conditionalFormatting>
  <conditionalFormatting sqref="H11">
    <cfRule type="expression" dxfId="25" priority="5">
      <formula>AND(DAY(H11)&gt;=1,DAY(H11)&lt;=15)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H17" sqref="H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26"/>
      <c r="G3" s="15" t="s">
        <v>15</v>
      </c>
      <c r="H3" s="15" t="s">
        <v>16</v>
      </c>
      <c r="I3" s="69"/>
    </row>
    <row r="4" spans="2:9" ht="75" customHeight="1" x14ac:dyDescent="0.65">
      <c r="B4" s="65"/>
      <c r="C4" s="123">
        <f>CalendarYear</f>
        <v>2025</v>
      </c>
      <c r="D4" s="171" t="s">
        <v>17</v>
      </c>
      <c r="E4" s="171"/>
      <c r="F4" s="171"/>
      <c r="G4" s="171"/>
      <c r="H4" s="171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31" customFormat="1" ht="25" customHeight="1" x14ac:dyDescent="0.2">
      <c r="B6" s="68"/>
      <c r="C6" s="57">
        <f t="array" ref="C6:I6">DaysAndWeeks+DATE(CalendarYear,5,1)-WEEKDAY(DATE(CalendarYear,5,1),(WeekStart="M")+1)+1</f>
        <v>45774</v>
      </c>
      <c r="D6" s="32">
        <v>45775</v>
      </c>
      <c r="E6" s="46">
        <v>45776</v>
      </c>
      <c r="F6" s="46">
        <v>45777</v>
      </c>
      <c r="G6" s="104">
        <v>45778</v>
      </c>
      <c r="H6" s="104">
        <v>45779</v>
      </c>
      <c r="I6" s="105">
        <v>45780</v>
      </c>
    </row>
    <row r="7" spans="2:9" s="48" customFormat="1" ht="75" customHeight="1" x14ac:dyDescent="0.15">
      <c r="B7" s="73"/>
      <c r="C7" s="133"/>
      <c r="D7" s="146"/>
      <c r="E7" s="146">
        <v>0.625</v>
      </c>
      <c r="F7" s="49"/>
      <c r="H7" s="111"/>
      <c r="I7" s="74"/>
    </row>
    <row r="8" spans="2:9" s="31" customFormat="1" ht="25" customHeight="1" x14ac:dyDescent="0.2">
      <c r="B8" s="68"/>
      <c r="C8" s="103">
        <f t="array" ref="C8:I8">DaysAndWeeks+DATE(CalendarYear,5,1)-WEEKDAY(DATE(CalendarYear,5,1),(WeekStart="M")+1)+8</f>
        <v>45781</v>
      </c>
      <c r="D8" s="98">
        <v>45782</v>
      </c>
      <c r="E8" s="98">
        <v>45783</v>
      </c>
      <c r="F8" s="98">
        <v>45784</v>
      </c>
      <c r="G8" s="98">
        <v>45785</v>
      </c>
      <c r="H8" s="98">
        <v>45786</v>
      </c>
      <c r="I8" s="99">
        <v>45787</v>
      </c>
    </row>
    <row r="9" spans="2:9" s="48" customFormat="1" ht="75" customHeight="1" x14ac:dyDescent="0.15">
      <c r="B9" s="73"/>
      <c r="C9" s="111"/>
      <c r="D9" s="111">
        <v>0.625</v>
      </c>
      <c r="E9" s="114"/>
      <c r="F9" s="47"/>
      <c r="H9" s="111"/>
      <c r="I9" s="74"/>
    </row>
    <row r="10" spans="2:9" s="31" customFormat="1" ht="25" customHeight="1" x14ac:dyDescent="0.2">
      <c r="B10" s="68"/>
      <c r="C10" s="103">
        <f t="array" ref="C10:I10">DaysAndWeeks+DATE(CalendarYear,5,1)-WEEKDAY(DATE(CalendarYear,5,1),(WeekStart="M")+1)+15</f>
        <v>45788</v>
      </c>
      <c r="D10" s="98">
        <v>45789</v>
      </c>
      <c r="E10" s="98">
        <v>45790</v>
      </c>
      <c r="F10" s="106">
        <v>45791</v>
      </c>
      <c r="G10" s="98">
        <v>45792</v>
      </c>
      <c r="H10" s="98">
        <v>45793</v>
      </c>
      <c r="I10" s="99">
        <v>45794</v>
      </c>
    </row>
    <row r="11" spans="2:9" s="48" customFormat="1" ht="75" customHeight="1" x14ac:dyDescent="0.15">
      <c r="B11" s="73"/>
      <c r="C11" s="111"/>
      <c r="D11" s="111"/>
      <c r="E11" s="111">
        <v>0.625</v>
      </c>
      <c r="F11" s="107"/>
      <c r="H11" s="111"/>
      <c r="I11" s="74"/>
    </row>
    <row r="12" spans="2:9" s="31" customFormat="1" ht="25" customHeight="1" x14ac:dyDescent="0.2">
      <c r="B12" s="68"/>
      <c r="C12" s="103">
        <f t="array" ref="C12:I12">DaysAndWeeks+DATE(CalendarYear,5,1)-WEEKDAY(DATE(CalendarYear,5,1),(WeekStart="M")+1)+22</f>
        <v>45795</v>
      </c>
      <c r="D12" s="98">
        <v>45796</v>
      </c>
      <c r="E12" s="98">
        <v>45797</v>
      </c>
      <c r="F12" s="98">
        <v>45798</v>
      </c>
      <c r="G12" s="98">
        <v>45799</v>
      </c>
      <c r="H12" s="98">
        <v>45800</v>
      </c>
      <c r="I12" s="99">
        <v>45801</v>
      </c>
    </row>
    <row r="13" spans="2:9" s="48" customFormat="1" ht="75" customHeight="1" x14ac:dyDescent="0.15">
      <c r="B13" s="73"/>
      <c r="C13" s="111"/>
      <c r="D13" s="111">
        <v>0.625</v>
      </c>
      <c r="E13" s="114"/>
      <c r="F13" s="47"/>
      <c r="H13" s="111"/>
      <c r="I13" s="74"/>
    </row>
    <row r="14" spans="2:9" s="31" customFormat="1" ht="25" customHeight="1" x14ac:dyDescent="0.2">
      <c r="B14" s="68"/>
      <c r="C14" s="103">
        <f t="array" ref="C14:I14">DaysAndWeeks+DATE(CalendarYear,5,1)-WEEKDAY(DATE(CalendarYear,5,1),(WeekStart="M")+1)+29</f>
        <v>45802</v>
      </c>
      <c r="D14" s="98">
        <v>45803</v>
      </c>
      <c r="E14" s="98">
        <v>45804</v>
      </c>
      <c r="F14" s="98">
        <v>45805</v>
      </c>
      <c r="G14" s="125">
        <v>45806</v>
      </c>
      <c r="H14" s="125">
        <v>45807</v>
      </c>
      <c r="I14" s="143">
        <v>45808</v>
      </c>
    </row>
    <row r="15" spans="2:9" s="48" customFormat="1" ht="75" customHeight="1" x14ac:dyDescent="0.15">
      <c r="B15" s="73"/>
      <c r="C15" s="111"/>
      <c r="D15" s="111"/>
      <c r="E15" s="111">
        <v>0.625</v>
      </c>
      <c r="F15" s="47"/>
      <c r="G15" s="139"/>
      <c r="H15" s="111"/>
      <c r="I15" s="144"/>
    </row>
    <row r="16" spans="2:9" s="29" customFormat="1" ht="25" customHeight="1" x14ac:dyDescent="0.2">
      <c r="B16" s="66"/>
      <c r="C16" s="38">
        <f t="array" ref="C16:I16">DaysAndWeeks+DATE(CalendarYear,5,1)-WEEKDAY(DATE(CalendarYear,5,1),(WeekStart="M")+1)+36</f>
        <v>45809</v>
      </c>
      <c r="D16" s="32">
        <v>45810</v>
      </c>
      <c r="E16" s="32">
        <v>45811</v>
      </c>
      <c r="F16" s="32">
        <v>45812</v>
      </c>
      <c r="G16" s="32">
        <v>45813</v>
      </c>
      <c r="H16" s="32">
        <v>45814</v>
      </c>
      <c r="I16" s="62">
        <v>45815</v>
      </c>
    </row>
    <row r="17" spans="2:9" ht="75" customHeight="1" x14ac:dyDescent="0.15">
      <c r="B17" s="65"/>
      <c r="C17" s="42"/>
      <c r="D17" s="146">
        <v>0.625</v>
      </c>
      <c r="E17" s="41"/>
      <c r="F17" s="41"/>
      <c r="G17" s="41"/>
      <c r="H17" s="146"/>
      <c r="I17" s="86"/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18:I18"/>
    <mergeCell ref="C2:I2"/>
    <mergeCell ref="D4:H4"/>
  </mergeCells>
  <conditionalFormatting sqref="C17:C18">
    <cfRule type="expression" dxfId="23" priority="1">
      <formula>AND(DAY(C17)&gt;=1,DAY(C17)&lt;=15)</formula>
    </cfRule>
  </conditionalFormatting>
  <conditionalFormatting sqref="C6:H6">
    <cfRule type="expression" dxfId="22" priority="3">
      <formula>DAY(C6)&gt;8</formula>
    </cfRule>
  </conditionalFormatting>
  <conditionalFormatting sqref="C14:I14 F15:G15 I15 C16:I16 E17:G17 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C17" sqref="C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53"/>
      <c r="G3" s="15" t="s">
        <v>18</v>
      </c>
      <c r="H3" s="15" t="s">
        <v>19</v>
      </c>
      <c r="I3" s="69"/>
    </row>
    <row r="4" spans="2:9" ht="75" customHeight="1" x14ac:dyDescent="0.65">
      <c r="B4" s="65"/>
      <c r="C4" s="123">
        <f>CalendarYear</f>
        <v>2025</v>
      </c>
      <c r="D4" s="171" t="s">
        <v>20</v>
      </c>
      <c r="E4" s="171"/>
      <c r="F4" s="171"/>
      <c r="G4" s="171"/>
      <c r="H4" s="171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145">
        <f t="array" ref="C6:I6">DaysAndWeeks+DATE(CalendarYear,6,1)-WEEKDAY(DATE(CalendarYear,6,1),(WeekStart="M")+1)+1</f>
        <v>45809</v>
      </c>
      <c r="D6" s="125">
        <v>45810</v>
      </c>
      <c r="E6" s="125">
        <v>45811</v>
      </c>
      <c r="F6" s="125">
        <v>45812</v>
      </c>
      <c r="G6" s="30">
        <v>45813</v>
      </c>
      <c r="H6" s="30">
        <v>45814</v>
      </c>
      <c r="I6" s="60">
        <v>45815</v>
      </c>
    </row>
    <row r="7" spans="2:9" s="59" customFormat="1" ht="75" customHeight="1" x14ac:dyDescent="0.15">
      <c r="B7" s="67"/>
      <c r="C7" s="149"/>
      <c r="D7" s="111">
        <v>0.625</v>
      </c>
      <c r="E7" s="150"/>
      <c r="F7" s="111">
        <v>0.625</v>
      </c>
      <c r="H7" s="111">
        <v>0.625</v>
      </c>
      <c r="I7" s="61"/>
    </row>
    <row r="8" spans="2:9" s="31" customFormat="1" ht="25" customHeight="1" x14ac:dyDescent="0.2">
      <c r="B8" s="68"/>
      <c r="C8" s="33">
        <f t="array" ref="C8:I8">DaysAndWeeks+DATE(CalendarYear,6,1)-WEEKDAY(DATE(CalendarYear,6,1),(WeekStart="M")+1)+8</f>
        <v>45816</v>
      </c>
      <c r="D8" s="30">
        <v>45817</v>
      </c>
      <c r="E8" s="30">
        <v>45818</v>
      </c>
      <c r="F8" s="30">
        <v>45819</v>
      </c>
      <c r="G8" s="30">
        <v>45820</v>
      </c>
      <c r="H8" s="30">
        <v>45821</v>
      </c>
      <c r="I8" s="60">
        <v>45822</v>
      </c>
    </row>
    <row r="9" spans="2:9" s="59" customFormat="1" ht="75" customHeight="1" x14ac:dyDescent="0.15">
      <c r="B9" s="67"/>
      <c r="C9" s="111">
        <v>0.625</v>
      </c>
      <c r="D9" s="111"/>
      <c r="E9" s="111">
        <v>0.625</v>
      </c>
      <c r="F9" s="118"/>
      <c r="G9" s="111">
        <v>0.625</v>
      </c>
      <c r="H9" s="111"/>
      <c r="I9" s="111">
        <v>0.625</v>
      </c>
    </row>
    <row r="10" spans="2:9" s="31" customFormat="1" ht="25" customHeight="1" x14ac:dyDescent="0.2">
      <c r="B10" s="68"/>
      <c r="C10" s="33">
        <f t="array" ref="C10:I10">DaysAndWeeks+DATE(CalendarYear,6,1)-WEEKDAY(DATE(CalendarYear,6,1),(WeekStart="M")+1)+15</f>
        <v>45823</v>
      </c>
      <c r="D10" s="30">
        <v>45824</v>
      </c>
      <c r="E10" s="30">
        <v>45825</v>
      </c>
      <c r="F10" s="30">
        <v>45826</v>
      </c>
      <c r="G10" s="30">
        <v>45827</v>
      </c>
      <c r="H10" s="30">
        <v>45828</v>
      </c>
      <c r="I10" s="60">
        <v>45829</v>
      </c>
    </row>
    <row r="11" spans="2:9" s="59" customFormat="1" ht="75" customHeight="1" x14ac:dyDescent="0.15">
      <c r="B11" s="67"/>
      <c r="C11" s="111"/>
      <c r="D11" s="111">
        <v>0.625</v>
      </c>
      <c r="E11" s="115"/>
      <c r="F11" s="111">
        <v>0.625</v>
      </c>
      <c r="H11" s="111">
        <v>0.625</v>
      </c>
      <c r="I11" s="61"/>
    </row>
    <row r="12" spans="2:9" s="31" customFormat="1" ht="25" customHeight="1" x14ac:dyDescent="0.2">
      <c r="B12" s="68"/>
      <c r="C12" s="33">
        <f t="array" ref="C12:I12">DaysAndWeeks+DATE(CalendarYear,6,1)-WEEKDAY(DATE(CalendarYear,6,1),(WeekStart="M")+1)+22</f>
        <v>45830</v>
      </c>
      <c r="D12" s="30">
        <v>45831</v>
      </c>
      <c r="E12" s="30">
        <v>45832</v>
      </c>
      <c r="F12" s="30">
        <v>45833</v>
      </c>
      <c r="G12" s="30">
        <v>45834</v>
      </c>
      <c r="H12" s="30">
        <v>45835</v>
      </c>
      <c r="I12" s="60">
        <v>45836</v>
      </c>
    </row>
    <row r="13" spans="2:9" s="59" customFormat="1" ht="75" customHeight="1" x14ac:dyDescent="0.15">
      <c r="B13" s="67"/>
      <c r="C13" s="111">
        <v>0.625</v>
      </c>
      <c r="D13" s="111"/>
      <c r="E13" s="111">
        <v>0.625</v>
      </c>
      <c r="F13" s="118"/>
      <c r="G13" s="111">
        <v>0.625</v>
      </c>
      <c r="H13" s="111"/>
      <c r="I13" s="111">
        <v>0.625</v>
      </c>
    </row>
    <row r="14" spans="2:9" s="31" customFormat="1" ht="25" customHeight="1" x14ac:dyDescent="0.2">
      <c r="B14" s="68"/>
      <c r="C14" s="33">
        <f t="array" ref="C14:I14">DaysAndWeeks+DATE(CalendarYear,6,1)-WEEKDAY(DATE(CalendarYear,6,1),(WeekStart="M")+1)+29</f>
        <v>45837</v>
      </c>
      <c r="D14" s="30">
        <v>45838</v>
      </c>
      <c r="E14" s="32">
        <v>45839</v>
      </c>
      <c r="F14" s="32">
        <v>45840</v>
      </c>
      <c r="G14" s="32">
        <v>45841</v>
      </c>
      <c r="H14" s="32">
        <v>45842</v>
      </c>
      <c r="I14" s="62">
        <v>45843</v>
      </c>
    </row>
    <row r="15" spans="2:9" s="59" customFormat="1" ht="75" customHeight="1" x14ac:dyDescent="0.15">
      <c r="B15" s="67"/>
      <c r="C15" s="111"/>
      <c r="D15" s="111">
        <v>0.625</v>
      </c>
      <c r="E15" s="116"/>
      <c r="F15" s="146">
        <v>0.625</v>
      </c>
      <c r="G15" s="148"/>
      <c r="H15" s="146">
        <v>0.625</v>
      </c>
      <c r="I15" s="63"/>
    </row>
    <row r="16" spans="2:9" s="29" customFormat="1" ht="25" customHeight="1" x14ac:dyDescent="0.2">
      <c r="B16" s="66"/>
      <c r="C16" s="38">
        <f t="array" ref="C16:I16">DaysAndWeeks+DATE(CalendarYear,6,1)-WEEKDAY(DATE(CalendarYear,6,1),(WeekStart="M")+1)+36</f>
        <v>45844</v>
      </c>
      <c r="D16" s="32">
        <v>45845</v>
      </c>
      <c r="E16" s="32">
        <v>45846</v>
      </c>
      <c r="F16" s="32">
        <v>45847</v>
      </c>
      <c r="G16" s="32">
        <v>45848</v>
      </c>
      <c r="H16" s="32">
        <v>45849</v>
      </c>
      <c r="I16" s="62">
        <v>45850</v>
      </c>
    </row>
    <row r="17" spans="2:9" s="29" customFormat="1" ht="75" customHeight="1" x14ac:dyDescent="0.2">
      <c r="B17" s="66"/>
      <c r="C17" s="146">
        <v>0.625</v>
      </c>
      <c r="D17" s="146"/>
      <c r="E17" s="146">
        <v>0.625</v>
      </c>
      <c r="F17" s="56"/>
      <c r="G17" s="146">
        <v>0.625</v>
      </c>
      <c r="H17" s="146"/>
      <c r="I17" s="146">
        <v>0.625</v>
      </c>
    </row>
    <row r="18" spans="2:9" ht="125" customHeight="1" thickBot="1" x14ac:dyDescent="0.2">
      <c r="B18" s="65"/>
      <c r="C18" s="168" t="s">
        <v>5</v>
      </c>
      <c r="D18" s="169"/>
      <c r="E18" s="169"/>
      <c r="F18" s="169"/>
      <c r="G18" s="169"/>
      <c r="H18" s="169"/>
      <c r="I18" s="170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E15 I15 C16:I16 F17 H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H15" sqref="H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53"/>
      <c r="G3" s="15" t="s">
        <v>21</v>
      </c>
      <c r="H3" s="15" t="s">
        <v>22</v>
      </c>
      <c r="I3" s="69"/>
    </row>
    <row r="4" spans="2:9" ht="75" customHeight="1" x14ac:dyDescent="0.65">
      <c r="B4" s="65"/>
      <c r="C4" s="123">
        <f>CalendarYear</f>
        <v>2025</v>
      </c>
      <c r="D4" s="167" t="s">
        <v>23</v>
      </c>
      <c r="E4" s="167"/>
      <c r="F4" s="167"/>
      <c r="G4" s="167"/>
      <c r="H4" s="167"/>
      <c r="I4" s="124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31" customFormat="1" ht="25" customHeight="1" x14ac:dyDescent="0.2">
      <c r="B6" s="68"/>
      <c r="C6" s="38">
        <f t="array" ref="C6:I6">DaysAndWeeks+DATE(CalendarYear,7,1)-WEEKDAY(DATE(CalendarYear,7,1),(WeekStart="M")+1)+1</f>
        <v>45837</v>
      </c>
      <c r="D6" s="32">
        <v>45838</v>
      </c>
      <c r="E6" s="125">
        <v>45839</v>
      </c>
      <c r="F6" s="152">
        <v>45840</v>
      </c>
      <c r="G6" s="125">
        <v>45841</v>
      </c>
      <c r="H6" s="125">
        <v>45842</v>
      </c>
      <c r="I6" s="60">
        <v>45843</v>
      </c>
    </row>
    <row r="7" spans="2:9" s="48" customFormat="1" ht="75" customHeight="1" x14ac:dyDescent="0.15">
      <c r="B7" s="73"/>
      <c r="C7" s="50"/>
      <c r="D7" s="146">
        <v>0.625</v>
      </c>
      <c r="E7" s="139"/>
      <c r="F7" s="111">
        <v>0.625</v>
      </c>
      <c r="G7" s="151"/>
      <c r="H7" s="111">
        <v>0.625</v>
      </c>
      <c r="I7" s="74"/>
    </row>
    <row r="8" spans="2:9" s="31" customFormat="1" ht="25" customHeight="1" x14ac:dyDescent="0.2">
      <c r="B8" s="68"/>
      <c r="C8" s="33">
        <f t="array" ref="C8:I8">DaysAndWeeks+DATE(CalendarYear,7,1)-WEEKDAY(DATE(CalendarYear,7,1),(WeekStart="M")+1)+8</f>
        <v>45844</v>
      </c>
      <c r="D8" s="30">
        <v>45845</v>
      </c>
      <c r="E8" s="30">
        <v>45846</v>
      </c>
      <c r="F8" s="30">
        <v>45847</v>
      </c>
      <c r="G8" s="30">
        <v>45848</v>
      </c>
      <c r="H8" s="30">
        <v>45849</v>
      </c>
      <c r="I8" s="60">
        <v>45850</v>
      </c>
    </row>
    <row r="9" spans="2:9" s="48" customFormat="1" ht="75" customHeight="1" x14ac:dyDescent="0.15">
      <c r="B9" s="73"/>
      <c r="C9" s="111">
        <v>0.625</v>
      </c>
      <c r="D9" s="111"/>
      <c r="E9" s="111">
        <v>0.625</v>
      </c>
      <c r="F9" s="117"/>
      <c r="G9" s="111">
        <v>0.625</v>
      </c>
      <c r="H9" s="111"/>
      <c r="I9" s="111">
        <v>0.625</v>
      </c>
    </row>
    <row r="10" spans="2:9" s="31" customFormat="1" ht="25" customHeight="1" x14ac:dyDescent="0.2">
      <c r="B10" s="68"/>
      <c r="C10" s="33">
        <f t="array" ref="C10:I10">DaysAndWeeks+DATE(CalendarYear,7,1)-WEEKDAY(DATE(CalendarYear,7,1),(WeekStart="M")+1)+15</f>
        <v>45851</v>
      </c>
      <c r="D10" s="30">
        <v>45852</v>
      </c>
      <c r="E10" s="30">
        <v>45853</v>
      </c>
      <c r="F10" s="30">
        <v>45854</v>
      </c>
      <c r="G10" s="30">
        <v>45855</v>
      </c>
      <c r="H10" s="30">
        <v>45856</v>
      </c>
      <c r="I10" s="60">
        <v>45857</v>
      </c>
    </row>
    <row r="11" spans="2:9" s="48" customFormat="1" ht="75" customHeight="1" x14ac:dyDescent="0.15">
      <c r="B11" s="73"/>
      <c r="C11" s="111"/>
      <c r="D11" s="111">
        <v>0.625</v>
      </c>
      <c r="E11" s="114"/>
      <c r="F11" s="111">
        <v>0.625</v>
      </c>
      <c r="G11" s="111"/>
      <c r="H11" s="111">
        <v>0.625</v>
      </c>
      <c r="I11" s="74"/>
    </row>
    <row r="12" spans="2:9" s="31" customFormat="1" ht="25" customHeight="1" x14ac:dyDescent="0.2">
      <c r="B12" s="68"/>
      <c r="C12" s="33">
        <f t="array" ref="C12:I12">DaysAndWeeks+DATE(CalendarYear,7,1)-WEEKDAY(DATE(CalendarYear,7,1),(WeekStart="M")+1)+22</f>
        <v>45858</v>
      </c>
      <c r="D12" s="30">
        <v>45859</v>
      </c>
      <c r="E12" s="30">
        <v>45860</v>
      </c>
      <c r="F12" s="30">
        <v>45861</v>
      </c>
      <c r="G12" s="30">
        <v>45862</v>
      </c>
      <c r="H12" s="30">
        <v>45863</v>
      </c>
      <c r="I12" s="60">
        <v>45864</v>
      </c>
    </row>
    <row r="13" spans="2:9" s="48" customFormat="1" ht="75" customHeight="1" x14ac:dyDescent="0.15">
      <c r="B13" s="73"/>
      <c r="C13" s="111">
        <v>0.625</v>
      </c>
      <c r="D13" s="111"/>
      <c r="E13" s="111">
        <v>0.625</v>
      </c>
      <c r="F13" s="117"/>
      <c r="G13" s="111">
        <v>0.625</v>
      </c>
      <c r="H13" s="111"/>
      <c r="I13" s="111">
        <v>0.625</v>
      </c>
    </row>
    <row r="14" spans="2:9" s="29" customFormat="1" ht="25" customHeight="1" x14ac:dyDescent="0.2">
      <c r="B14" s="66"/>
      <c r="C14" s="33">
        <f t="array" ref="C14:I14">DaysAndWeeks+DATE(CalendarYear,7,1)-WEEKDAY(DATE(CalendarYear,7,1),(WeekStart="M")+1)+29</f>
        <v>45865</v>
      </c>
      <c r="D14" s="30">
        <v>45866</v>
      </c>
      <c r="E14" s="30">
        <v>45867</v>
      </c>
      <c r="F14" s="30">
        <v>45868</v>
      </c>
      <c r="G14" s="30">
        <v>45869</v>
      </c>
      <c r="H14" s="32">
        <v>45870</v>
      </c>
      <c r="I14" s="62">
        <v>45871</v>
      </c>
    </row>
    <row r="15" spans="2:9" s="48" customFormat="1" ht="75" customHeight="1" x14ac:dyDescent="0.15">
      <c r="B15" s="73"/>
      <c r="C15" s="111"/>
      <c r="D15" s="111">
        <v>0.625</v>
      </c>
      <c r="E15" s="114"/>
      <c r="F15" s="111">
        <v>0.625</v>
      </c>
      <c r="G15" s="111"/>
      <c r="H15" s="146">
        <v>0.625</v>
      </c>
      <c r="I15" s="153"/>
    </row>
    <row r="16" spans="2:9" s="31" customFormat="1" ht="25" customHeight="1" x14ac:dyDescent="0.2">
      <c r="B16" s="68"/>
      <c r="C16" s="38">
        <f t="array" ref="C16:I16">DaysAndWeeks+DATE(CalendarYear,7,1)-WEEKDAY(DATE(CalendarYear,7,1),(WeekStart="M")+1)+36</f>
        <v>45872</v>
      </c>
      <c r="D16" s="32">
        <v>45873</v>
      </c>
      <c r="E16" s="32">
        <v>45874</v>
      </c>
      <c r="F16" s="32">
        <v>45875</v>
      </c>
      <c r="G16" s="32">
        <v>45876</v>
      </c>
      <c r="H16" s="32">
        <v>45877</v>
      </c>
      <c r="I16" s="62">
        <v>45878</v>
      </c>
    </row>
    <row r="17" spans="2:9" s="48" customFormat="1" ht="75" customHeight="1" x14ac:dyDescent="0.15">
      <c r="B17" s="73"/>
      <c r="C17" s="146">
        <v>0.625</v>
      </c>
      <c r="D17" s="146"/>
      <c r="E17" s="146">
        <v>0.625</v>
      </c>
      <c r="F17" s="49"/>
      <c r="G17" s="146">
        <v>0.625</v>
      </c>
      <c r="H17" s="146"/>
      <c r="I17" s="146">
        <v>0.625</v>
      </c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E15 I15 C16:I16 F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6" sqref="C16"/>
    </sheetView>
  </sheetViews>
  <sheetFormatPr baseColWidth="10" defaultColWidth="8.625" defaultRowHeight="17" x14ac:dyDescent="0.15"/>
  <cols>
    <col min="1" max="2" width="2.625" style="29" customWidth="1"/>
    <col min="3" max="9" width="24.375" style="29" customWidth="1"/>
    <col min="10" max="16384" width="8.625" style="29"/>
  </cols>
  <sheetData>
    <row r="1" spans="2:9" ht="15" customHeight="1" thickBot="1" x14ac:dyDescent="0.2"/>
    <row r="2" spans="2:9" ht="75" customHeight="1" thickTop="1" x14ac:dyDescent="0.15">
      <c r="B2" s="66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2">
      <c r="B3" s="66"/>
      <c r="C3" s="87"/>
      <c r="D3" s="88"/>
      <c r="E3" s="88"/>
      <c r="F3" s="89"/>
      <c r="G3" s="43" t="s">
        <v>24</v>
      </c>
      <c r="H3" s="43" t="s">
        <v>25</v>
      </c>
      <c r="I3" s="94"/>
    </row>
    <row r="4" spans="2:9" ht="75" customHeight="1" x14ac:dyDescent="0.65">
      <c r="B4" s="66"/>
      <c r="C4" s="123">
        <f>CalendarYear</f>
        <v>2025</v>
      </c>
      <c r="D4" s="167" t="s">
        <v>26</v>
      </c>
      <c r="E4" s="167"/>
      <c r="F4" s="167"/>
      <c r="G4" s="167"/>
      <c r="H4" s="167"/>
      <c r="I4" s="124"/>
    </row>
    <row r="5" spans="2:9" ht="35" customHeight="1" x14ac:dyDescent="0.15">
      <c r="B5" s="66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90" customFormat="1" ht="25" customHeight="1" x14ac:dyDescent="0.2">
      <c r="B6" s="92"/>
      <c r="C6" s="91">
        <f t="array" ref="C6:I6">DaysAndWeeks+DATE(CalendarYear,8,1)-WEEKDAY(DATE(CalendarYear,8,1),(WeekStart="M")+1)+1</f>
        <v>45865</v>
      </c>
      <c r="D6" s="91">
        <v>45866</v>
      </c>
      <c r="E6" s="24">
        <v>45867</v>
      </c>
      <c r="F6" s="24">
        <v>45868</v>
      </c>
      <c r="G6" s="24">
        <v>45869</v>
      </c>
      <c r="H6" s="55">
        <v>45870</v>
      </c>
      <c r="I6" s="93">
        <v>45871</v>
      </c>
    </row>
    <row r="7" spans="2:9" s="59" customFormat="1" ht="75" customHeight="1" x14ac:dyDescent="0.15">
      <c r="B7" s="67"/>
      <c r="C7" s="120"/>
      <c r="D7" s="146">
        <v>0.625</v>
      </c>
      <c r="E7" s="116"/>
      <c r="F7" s="146">
        <v>0.625</v>
      </c>
      <c r="G7" s="146"/>
      <c r="H7" s="111">
        <v>0.625</v>
      </c>
      <c r="I7" s="61"/>
    </row>
    <row r="8" spans="2:9" ht="25" customHeight="1" x14ac:dyDescent="0.2">
      <c r="B8" s="66"/>
      <c r="C8" s="33">
        <f t="array" ref="C8:I8">DaysAndWeeks+DATE(CalendarYear,8,1)-WEEKDAY(DATE(CalendarYear,8,1),(WeekStart="M")+1)+8</f>
        <v>45872</v>
      </c>
      <c r="D8" s="98">
        <v>45873</v>
      </c>
      <c r="E8" s="30">
        <v>45874</v>
      </c>
      <c r="F8" s="30">
        <v>45875</v>
      </c>
      <c r="G8" s="30">
        <v>45876</v>
      </c>
      <c r="H8" s="30">
        <v>45877</v>
      </c>
      <c r="I8" s="60">
        <v>45878</v>
      </c>
    </row>
    <row r="9" spans="2:9" s="59" customFormat="1" ht="75" customHeight="1" x14ac:dyDescent="0.15">
      <c r="B9" s="67"/>
      <c r="C9" s="111">
        <v>0.625</v>
      </c>
      <c r="D9" s="111"/>
      <c r="E9" s="111">
        <v>0.625</v>
      </c>
      <c r="F9" s="118"/>
      <c r="G9" s="111">
        <v>0.625</v>
      </c>
      <c r="H9" s="111"/>
      <c r="I9" s="111">
        <v>0.625</v>
      </c>
    </row>
    <row r="10" spans="2:9" ht="25" customHeight="1" x14ac:dyDescent="0.2">
      <c r="B10" s="66"/>
      <c r="C10" s="33">
        <f t="array" ref="C10:I10">DaysAndWeeks+DATE(CalendarYear,8,1)-WEEKDAY(DATE(CalendarYear,8,1),(WeekStart="M")+1)+15</f>
        <v>45879</v>
      </c>
      <c r="D10" s="98">
        <v>45880</v>
      </c>
      <c r="E10" s="30">
        <v>45881</v>
      </c>
      <c r="F10" s="30">
        <v>45882</v>
      </c>
      <c r="G10" s="30">
        <v>45883</v>
      </c>
      <c r="H10" s="30">
        <v>45884</v>
      </c>
      <c r="I10" s="60">
        <v>45885</v>
      </c>
    </row>
    <row r="11" spans="2:9" s="59" customFormat="1" ht="75" customHeight="1" x14ac:dyDescent="0.15">
      <c r="B11" s="67"/>
      <c r="C11" s="111"/>
      <c r="D11" s="111">
        <v>0.625</v>
      </c>
      <c r="E11" s="115"/>
      <c r="F11" s="111">
        <v>0.625</v>
      </c>
      <c r="G11" s="111"/>
      <c r="H11" s="111">
        <v>0.625</v>
      </c>
      <c r="I11" s="61"/>
    </row>
    <row r="12" spans="2:9" ht="25" customHeight="1" x14ac:dyDescent="0.2">
      <c r="B12" s="66"/>
      <c r="C12" s="33">
        <f t="array" ref="C12:I12">DaysAndWeeks+DATE(CalendarYear,8,1)-WEEKDAY(DATE(CalendarYear,8,1),(WeekStart="M")+1)+22</f>
        <v>45886</v>
      </c>
      <c r="D12" s="98">
        <v>45887</v>
      </c>
      <c r="E12" s="30">
        <v>45888</v>
      </c>
      <c r="F12" s="30">
        <v>45889</v>
      </c>
      <c r="G12" s="30">
        <v>45890</v>
      </c>
      <c r="H12" s="30">
        <v>45891</v>
      </c>
      <c r="I12" s="60">
        <v>45892</v>
      </c>
    </row>
    <row r="13" spans="2:9" s="59" customFormat="1" ht="75" customHeight="1" x14ac:dyDescent="0.15">
      <c r="B13" s="67"/>
      <c r="C13" s="111">
        <v>0.625</v>
      </c>
      <c r="D13" s="111"/>
      <c r="E13" s="111">
        <v>0.625</v>
      </c>
      <c r="F13" s="118"/>
      <c r="G13" s="111">
        <v>0.625</v>
      </c>
      <c r="H13" s="111"/>
      <c r="I13" s="111">
        <v>0.625</v>
      </c>
    </row>
    <row r="14" spans="2:9" ht="25" customHeight="1" x14ac:dyDescent="0.2">
      <c r="B14" s="66"/>
      <c r="C14" s="33">
        <f t="array" ref="C14:I14">DaysAndWeeks+DATE(CalendarYear,8,1)-WEEKDAY(DATE(CalendarYear,8,1),(WeekStart="M")+1)+29</f>
        <v>45893</v>
      </c>
      <c r="D14" s="30">
        <v>45894</v>
      </c>
      <c r="E14" s="30">
        <v>45895</v>
      </c>
      <c r="F14" s="30">
        <v>45896</v>
      </c>
      <c r="G14" s="98">
        <v>45897</v>
      </c>
      <c r="H14" s="125">
        <v>45898</v>
      </c>
      <c r="I14" s="143">
        <v>45899</v>
      </c>
    </row>
    <row r="15" spans="2:9" s="59" customFormat="1" ht="75" customHeight="1" x14ac:dyDescent="0.15">
      <c r="B15" s="67"/>
      <c r="C15" s="111"/>
      <c r="D15" s="111">
        <v>0.625</v>
      </c>
      <c r="E15" s="115"/>
      <c r="F15" s="111">
        <v>0.625</v>
      </c>
      <c r="G15" s="111"/>
      <c r="H15" s="111">
        <v>0.625</v>
      </c>
      <c r="I15" s="154"/>
    </row>
    <row r="16" spans="2:9" ht="25" customHeight="1" x14ac:dyDescent="0.2">
      <c r="B16" s="66"/>
      <c r="C16" s="38">
        <f t="array" ref="C16:I16">DaysAndWeeks+DATE(CalendarYear,8,1)-WEEKDAY(DATE(CalendarYear,8,1),(WeekStart="M")+1)+36</f>
        <v>45900</v>
      </c>
      <c r="D16" s="32">
        <v>45901</v>
      </c>
      <c r="E16" s="32">
        <v>45902</v>
      </c>
      <c r="F16" s="32">
        <v>45903</v>
      </c>
      <c r="G16" s="32">
        <v>45904</v>
      </c>
      <c r="H16" s="32">
        <v>45905</v>
      </c>
      <c r="I16" s="62">
        <v>45906</v>
      </c>
    </row>
    <row r="17" spans="2:9" s="59" customFormat="1" ht="75" customHeight="1" x14ac:dyDescent="0.15">
      <c r="B17" s="67"/>
      <c r="C17" s="146">
        <v>0.625</v>
      </c>
      <c r="D17" s="146"/>
      <c r="E17" s="146">
        <v>0.625</v>
      </c>
      <c r="F17" s="58"/>
      <c r="G17" s="146">
        <v>0.625</v>
      </c>
      <c r="H17" s="146"/>
      <c r="I17" s="146">
        <v>0.625</v>
      </c>
    </row>
    <row r="18" spans="2:9" s="1" customFormat="1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s="1" customFormat="1" ht="15" thickTop="1" x14ac:dyDescent="0.15">
      <c r="C19" s="4"/>
      <c r="D19" s="4"/>
      <c r="E19" s="4"/>
      <c r="F19" s="4"/>
      <c r="G19" s="4"/>
      <c r="H19" s="4"/>
      <c r="I19" s="4"/>
    </row>
    <row r="20" spans="2:9" s="1" customFormat="1" ht="14" x14ac:dyDescent="0.15">
      <c r="C20" s="4"/>
      <c r="D20" s="4"/>
      <c r="E20" s="4"/>
      <c r="F20" s="4"/>
      <c r="G20" s="4"/>
      <c r="H20" s="4"/>
      <c r="I20" s="4"/>
    </row>
    <row r="21" spans="2:9" s="1" customFormat="1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E15 I15 C16:I16 F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7" sqref="C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53"/>
      <c r="G3" s="15" t="s">
        <v>27</v>
      </c>
      <c r="H3" s="15" t="s">
        <v>28</v>
      </c>
      <c r="I3" s="69"/>
    </row>
    <row r="4" spans="2:9" ht="75" customHeight="1" x14ac:dyDescent="0.65">
      <c r="B4" s="65"/>
      <c r="C4" s="123">
        <f>CalendarYear</f>
        <v>2025</v>
      </c>
      <c r="D4" s="172" t="s">
        <v>29</v>
      </c>
      <c r="E4" s="172"/>
      <c r="F4" s="172"/>
      <c r="G4" s="172"/>
      <c r="H4" s="172"/>
      <c r="I4" s="122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31" customFormat="1" ht="25" customHeight="1" x14ac:dyDescent="0.2">
      <c r="B6" s="68"/>
      <c r="C6" s="38">
        <f t="array" ref="C6:I6">DaysAndWeeks+DATE(CalendarYear,9,1)-WEEKDAY(DATE(CalendarYear,9,1),(WeekStart="M")+1)+1</f>
        <v>45900</v>
      </c>
      <c r="D6" s="125">
        <v>45901</v>
      </c>
      <c r="E6" s="125">
        <v>45902</v>
      </c>
      <c r="F6" s="125">
        <v>45903</v>
      </c>
      <c r="G6" s="125">
        <v>45904</v>
      </c>
      <c r="H6" s="30">
        <v>45905</v>
      </c>
      <c r="I6" s="60">
        <v>45906</v>
      </c>
    </row>
    <row r="7" spans="2:9" s="48" customFormat="1" ht="75" customHeight="1" x14ac:dyDescent="0.15">
      <c r="B7" s="73"/>
      <c r="C7" s="146">
        <v>0.625</v>
      </c>
      <c r="D7" s="111"/>
      <c r="E7" s="111">
        <v>0.625</v>
      </c>
      <c r="F7" s="139"/>
      <c r="G7" s="111">
        <v>0.625</v>
      </c>
      <c r="H7" s="111"/>
      <c r="I7" s="111">
        <v>0.625</v>
      </c>
    </row>
    <row r="8" spans="2:9" s="31" customFormat="1" ht="25" customHeight="1" x14ac:dyDescent="0.2">
      <c r="B8" s="68"/>
      <c r="C8" s="33">
        <f t="array" ref="C8:I8">DaysAndWeeks+DATE(CalendarYear,9,1)-WEEKDAY(DATE(CalendarYear,9,1),(WeekStart="M")+1)+8</f>
        <v>45907</v>
      </c>
      <c r="D8" s="30">
        <v>45908</v>
      </c>
      <c r="E8" s="30">
        <v>45909</v>
      </c>
      <c r="F8" s="30">
        <v>45910</v>
      </c>
      <c r="G8" s="30">
        <v>45911</v>
      </c>
      <c r="H8" s="30">
        <v>45912</v>
      </c>
      <c r="I8" s="60">
        <v>45913</v>
      </c>
    </row>
    <row r="9" spans="2:9" s="48" customFormat="1" ht="75" customHeight="1" x14ac:dyDescent="0.15">
      <c r="B9" s="73"/>
      <c r="C9" s="136"/>
      <c r="D9" s="111">
        <v>0.625</v>
      </c>
      <c r="E9" s="114"/>
      <c r="F9" s="111">
        <v>0.625</v>
      </c>
      <c r="G9" s="111"/>
      <c r="H9" s="111">
        <v>0.625</v>
      </c>
      <c r="I9" s="74"/>
    </row>
    <row r="10" spans="2:9" s="31" customFormat="1" ht="25" customHeight="1" x14ac:dyDescent="0.2">
      <c r="B10" s="68"/>
      <c r="C10" s="33">
        <f t="array" ref="C10:I10">DaysAndWeeks+DATE(CalendarYear,9,1)-WEEKDAY(DATE(CalendarYear,9,1),(WeekStart="M")+1)+15</f>
        <v>45914</v>
      </c>
      <c r="D10" s="30">
        <v>45915</v>
      </c>
      <c r="E10" s="30">
        <v>45916</v>
      </c>
      <c r="F10" s="30">
        <v>45917</v>
      </c>
      <c r="G10" s="30">
        <v>45918</v>
      </c>
      <c r="H10" s="30">
        <v>45919</v>
      </c>
      <c r="I10" s="60">
        <v>45920</v>
      </c>
    </row>
    <row r="11" spans="2:9" s="48" customFormat="1" ht="75" customHeight="1" x14ac:dyDescent="0.15">
      <c r="B11" s="73"/>
      <c r="C11" s="111">
        <v>0.625</v>
      </c>
      <c r="D11" s="111"/>
      <c r="E11" s="111">
        <v>0.625</v>
      </c>
      <c r="F11" s="114"/>
      <c r="G11" s="111">
        <v>0.625</v>
      </c>
      <c r="H11" s="111"/>
      <c r="I11" s="111">
        <v>0.625</v>
      </c>
    </row>
    <row r="12" spans="2:9" s="31" customFormat="1" ht="25" customHeight="1" x14ac:dyDescent="0.2">
      <c r="B12" s="68"/>
      <c r="C12" s="33">
        <f t="array" ref="C12:I12">DaysAndWeeks+DATE(CalendarYear,9,1)-WEEKDAY(DATE(CalendarYear,9,1),(WeekStart="M")+1)+22</f>
        <v>45921</v>
      </c>
      <c r="D12" s="30">
        <v>45922</v>
      </c>
      <c r="E12" s="30">
        <v>45923</v>
      </c>
      <c r="F12" s="30">
        <v>45924</v>
      </c>
      <c r="G12" s="30">
        <v>45925</v>
      </c>
      <c r="H12" s="30">
        <v>45926</v>
      </c>
      <c r="I12" s="60">
        <v>45927</v>
      </c>
    </row>
    <row r="13" spans="2:9" s="48" customFormat="1" ht="75" customHeight="1" x14ac:dyDescent="0.15">
      <c r="B13" s="73"/>
      <c r="C13" s="136"/>
      <c r="D13" s="111">
        <v>0.625</v>
      </c>
      <c r="E13" s="114"/>
      <c r="F13" s="111">
        <v>0.625</v>
      </c>
      <c r="G13" s="111"/>
      <c r="H13" s="111">
        <v>0.625</v>
      </c>
      <c r="I13" s="74"/>
    </row>
    <row r="14" spans="2:9" s="31" customFormat="1" ht="25" customHeight="1" x14ac:dyDescent="0.2">
      <c r="B14" s="68"/>
      <c r="C14" s="33">
        <f t="array" ref="C14:I14">DaysAndWeeks+DATE(CalendarYear,9,1)-WEEKDAY(DATE(CalendarYear,9,1),(WeekStart="M")+1)+29</f>
        <v>45928</v>
      </c>
      <c r="D14" s="30">
        <v>45929</v>
      </c>
      <c r="E14" s="30">
        <v>45930</v>
      </c>
      <c r="F14" s="32">
        <v>45931</v>
      </c>
      <c r="G14" s="32">
        <v>45932</v>
      </c>
      <c r="H14" s="32">
        <v>45933</v>
      </c>
      <c r="I14" s="62">
        <v>45934</v>
      </c>
    </row>
    <row r="15" spans="2:9" s="48" customFormat="1" ht="75" customHeight="1" x14ac:dyDescent="0.15">
      <c r="B15" s="73"/>
      <c r="C15" s="111">
        <v>0.625</v>
      </c>
      <c r="D15" s="111"/>
      <c r="E15" s="111">
        <v>0.625</v>
      </c>
      <c r="F15" s="113"/>
      <c r="G15" s="146">
        <v>0.625</v>
      </c>
      <c r="H15" s="146"/>
      <c r="I15" s="146">
        <v>0.625</v>
      </c>
    </row>
    <row r="16" spans="2:9" s="31" customFormat="1" ht="25" customHeight="1" x14ac:dyDescent="0.2">
      <c r="B16" s="68"/>
      <c r="C16" s="38">
        <f t="array" ref="C16:I16">DaysAndWeeks+DATE(CalendarYear,9,1)-WEEKDAY(DATE(CalendarYear,9,1),(WeekStart="M")+1)+36</f>
        <v>45935</v>
      </c>
      <c r="D16" s="32">
        <v>45936</v>
      </c>
      <c r="E16" s="32">
        <v>45937</v>
      </c>
      <c r="F16" s="32">
        <v>45938</v>
      </c>
      <c r="G16" s="32">
        <v>45939</v>
      </c>
      <c r="H16" s="32">
        <v>45940</v>
      </c>
      <c r="I16" s="62">
        <v>45941</v>
      </c>
    </row>
    <row r="17" spans="2:9" s="48" customFormat="1" ht="75" customHeight="1" x14ac:dyDescent="0.15">
      <c r="B17" s="73"/>
      <c r="C17" s="50"/>
      <c r="D17" s="146">
        <v>0.625</v>
      </c>
      <c r="E17" s="49"/>
      <c r="F17" s="146">
        <v>0.625</v>
      </c>
      <c r="G17" s="49"/>
      <c r="H17" s="146">
        <v>0.625</v>
      </c>
      <c r="I17" s="80"/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18:I18"/>
    <mergeCell ref="C2:I2"/>
    <mergeCell ref="D4:H4"/>
  </mergeCells>
  <conditionalFormatting sqref="C17:C18">
    <cfRule type="expression" dxfId="11" priority="1">
      <formula>AND(DAY(C17)&gt;=1,DAY(C17)&lt;=15)</formula>
    </cfRule>
  </conditionalFormatting>
  <conditionalFormatting sqref="C6:H6">
    <cfRule type="expression" dxfId="10" priority="3">
      <formula>DAY(C6)&gt;8</formula>
    </cfRule>
  </conditionalFormatting>
  <conditionalFormatting sqref="C14:I14 F15 C16:I16 E17 I17 G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7" sqref="C7"/>
    </sheetView>
  </sheetViews>
  <sheetFormatPr baseColWidth="10" defaultColWidth="8.625" defaultRowHeight="17" x14ac:dyDescent="0.15"/>
  <cols>
    <col min="1" max="2" width="2.625" style="29" customWidth="1"/>
    <col min="3" max="9" width="24.375" style="29" customWidth="1"/>
    <col min="10" max="16384" width="8.625" style="29"/>
  </cols>
  <sheetData>
    <row r="1" spans="2:9" ht="15" customHeight="1" thickBot="1" x14ac:dyDescent="0.2">
      <c r="C1" s="97"/>
      <c r="D1" s="97"/>
      <c r="E1" s="97"/>
      <c r="F1" s="97"/>
      <c r="G1" s="97"/>
      <c r="H1" s="97"/>
      <c r="I1" s="97"/>
    </row>
    <row r="2" spans="2:9" ht="75" customHeight="1" thickTop="1" x14ac:dyDescent="0.15">
      <c r="B2" s="66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2">
      <c r="B3" s="66"/>
      <c r="C3" s="87"/>
      <c r="D3" s="88"/>
      <c r="E3" s="88"/>
      <c r="F3" s="89"/>
      <c r="G3" s="15" t="s">
        <v>30</v>
      </c>
      <c r="H3" s="15" t="s">
        <v>31</v>
      </c>
      <c r="I3" s="94"/>
    </row>
    <row r="4" spans="2:9" ht="75" customHeight="1" x14ac:dyDescent="0.65">
      <c r="B4" s="66"/>
      <c r="C4" s="123">
        <f>CalendarYear</f>
        <v>2025</v>
      </c>
      <c r="D4" s="172" t="s">
        <v>32</v>
      </c>
      <c r="E4" s="172"/>
      <c r="F4" s="172"/>
      <c r="G4" s="172"/>
      <c r="H4" s="172"/>
      <c r="I4" s="122"/>
    </row>
    <row r="5" spans="2:9" ht="35" customHeight="1" x14ac:dyDescent="0.15">
      <c r="B5" s="66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ht="25" customHeight="1" x14ac:dyDescent="0.2">
      <c r="B6" s="66"/>
      <c r="C6" s="38">
        <f t="array" ref="C6:I6">DaysAndWeeks+DATE(CalendarYear,10,1)-WEEKDAY(DATE(CalendarYear,10,1),(WeekStart="M")+1)+1</f>
        <v>45928</v>
      </c>
      <c r="D6" s="32">
        <v>45929</v>
      </c>
      <c r="E6" s="32">
        <v>45930</v>
      </c>
      <c r="F6" s="98">
        <v>45931</v>
      </c>
      <c r="G6" s="98">
        <v>45932</v>
      </c>
      <c r="H6" s="98">
        <v>45933</v>
      </c>
      <c r="I6" s="60">
        <v>45934</v>
      </c>
    </row>
    <row r="7" spans="2:9" s="59" customFormat="1" ht="75" customHeight="1" x14ac:dyDescent="0.15">
      <c r="B7" s="67"/>
      <c r="C7" s="146">
        <v>0.625</v>
      </c>
      <c r="D7" s="146"/>
      <c r="E7" s="146">
        <v>0.625</v>
      </c>
      <c r="F7" s="54"/>
      <c r="G7" s="111">
        <v>0.625</v>
      </c>
      <c r="H7" s="111"/>
      <c r="I7" s="111">
        <v>0.625</v>
      </c>
    </row>
    <row r="8" spans="2:9" ht="25" customHeight="1" x14ac:dyDescent="0.2">
      <c r="B8" s="66"/>
      <c r="C8" s="33">
        <f t="array" ref="C8:I8">DaysAndWeeks+DATE(CalendarYear,10,1)-WEEKDAY(DATE(CalendarYear,10,1),(WeekStart="M")+1)+8</f>
        <v>45935</v>
      </c>
      <c r="D8" s="30">
        <v>45936</v>
      </c>
      <c r="E8" s="30">
        <v>45937</v>
      </c>
      <c r="F8" s="30">
        <v>45938</v>
      </c>
      <c r="G8" s="30">
        <v>45939</v>
      </c>
      <c r="H8" s="30">
        <v>45940</v>
      </c>
      <c r="I8" s="60">
        <v>45941</v>
      </c>
    </row>
    <row r="9" spans="2:9" s="59" customFormat="1" ht="75" customHeight="1" x14ac:dyDescent="0.15">
      <c r="B9" s="67"/>
      <c r="C9" s="136"/>
      <c r="D9" s="111">
        <v>0.625</v>
      </c>
      <c r="E9" s="115"/>
      <c r="F9" s="111">
        <v>0.625</v>
      </c>
      <c r="G9" s="111"/>
      <c r="H9" s="111">
        <v>0.625</v>
      </c>
      <c r="I9" s="61"/>
    </row>
    <row r="10" spans="2:9" ht="25" customHeight="1" x14ac:dyDescent="0.2">
      <c r="B10" s="66"/>
      <c r="C10" s="33">
        <f t="array" ref="C10:I10">DaysAndWeeks+DATE(CalendarYear,10,1)-WEEKDAY(DATE(CalendarYear,10,1),(WeekStart="M")+1)+15</f>
        <v>45942</v>
      </c>
      <c r="D10" s="30">
        <v>45943</v>
      </c>
      <c r="E10" s="30">
        <v>45944</v>
      </c>
      <c r="F10" s="30">
        <v>45945</v>
      </c>
      <c r="G10" s="30">
        <v>45946</v>
      </c>
      <c r="H10" s="30">
        <v>45947</v>
      </c>
      <c r="I10" s="60">
        <v>45948</v>
      </c>
    </row>
    <row r="11" spans="2:9" s="59" customFormat="1" ht="75" customHeight="1" x14ac:dyDescent="0.15">
      <c r="B11" s="67"/>
      <c r="C11" s="111">
        <v>0.625</v>
      </c>
      <c r="D11" s="111"/>
      <c r="E11" s="111">
        <v>0.625</v>
      </c>
      <c r="F11" s="118"/>
      <c r="G11" s="111">
        <v>0.625</v>
      </c>
      <c r="H11" s="111"/>
      <c r="I11" s="111">
        <v>0.625</v>
      </c>
    </row>
    <row r="12" spans="2:9" ht="25" customHeight="1" x14ac:dyDescent="0.2">
      <c r="B12" s="66"/>
      <c r="C12" s="33">
        <f t="array" ref="C12:I12">DaysAndWeeks+DATE(CalendarYear,10,1)-WEEKDAY(DATE(CalendarYear,10,1),(WeekStart="M")+1)+22</f>
        <v>45949</v>
      </c>
      <c r="D12" s="30">
        <v>45950</v>
      </c>
      <c r="E12" s="30">
        <v>45951</v>
      </c>
      <c r="F12" s="30">
        <v>45952</v>
      </c>
      <c r="G12" s="30">
        <v>45953</v>
      </c>
      <c r="H12" s="30">
        <v>45954</v>
      </c>
      <c r="I12" s="60">
        <v>45955</v>
      </c>
    </row>
    <row r="13" spans="2:9" s="59" customFormat="1" ht="75" customHeight="1" x14ac:dyDescent="0.15">
      <c r="B13" s="67"/>
      <c r="C13" s="136"/>
      <c r="D13" s="111">
        <v>0.625</v>
      </c>
      <c r="E13" s="115"/>
      <c r="F13" s="111">
        <v>0.625</v>
      </c>
      <c r="G13" s="111"/>
      <c r="H13" s="111">
        <v>0.625</v>
      </c>
      <c r="I13" s="61"/>
    </row>
    <row r="14" spans="2:9" ht="25" customHeight="1" x14ac:dyDescent="0.2">
      <c r="B14" s="66"/>
      <c r="C14" s="33">
        <f t="array" ref="C14:I14">DaysAndWeeks+DATE(CalendarYear,10,1)-WEEKDAY(DATE(CalendarYear,10,1),(WeekStart="M")+1)+29</f>
        <v>45956</v>
      </c>
      <c r="D14" s="30">
        <v>45957</v>
      </c>
      <c r="E14" s="30">
        <v>45958</v>
      </c>
      <c r="F14" s="125">
        <v>45959</v>
      </c>
      <c r="G14" s="125">
        <v>45960</v>
      </c>
      <c r="H14" s="125">
        <v>45961</v>
      </c>
      <c r="I14" s="62">
        <v>45962</v>
      </c>
    </row>
    <row r="15" spans="2:9" s="95" customFormat="1" ht="75" customHeight="1" x14ac:dyDescent="0.15">
      <c r="B15" s="96"/>
      <c r="C15" s="111">
        <v>0.625</v>
      </c>
      <c r="D15" s="111"/>
      <c r="E15" s="111">
        <v>0.625</v>
      </c>
      <c r="F15" s="155"/>
      <c r="G15" s="111">
        <v>0.625</v>
      </c>
      <c r="H15" s="111"/>
      <c r="I15" s="146">
        <v>0.625</v>
      </c>
    </row>
    <row r="16" spans="2:9" ht="25" customHeight="1" x14ac:dyDescent="0.2">
      <c r="B16" s="66"/>
      <c r="C16" s="38">
        <f t="array" ref="C16:I16">DaysAndWeeks+DATE(CalendarYear,10,1)-WEEKDAY(DATE(CalendarYear,10,1),(WeekStart="M")+1)+36</f>
        <v>45963</v>
      </c>
      <c r="D16" s="32">
        <v>45964</v>
      </c>
      <c r="E16" s="32">
        <v>45965</v>
      </c>
      <c r="F16" s="32">
        <v>45966</v>
      </c>
      <c r="G16" s="32">
        <v>45967</v>
      </c>
      <c r="H16" s="32">
        <v>45968</v>
      </c>
      <c r="I16" s="32">
        <v>45969</v>
      </c>
    </row>
    <row r="17" spans="2:9" s="59" customFormat="1" ht="75" customHeight="1" x14ac:dyDescent="0.15">
      <c r="B17" s="67"/>
      <c r="C17" s="135"/>
      <c r="D17" s="146">
        <v>0.625</v>
      </c>
      <c r="E17" s="58"/>
      <c r="F17" s="146">
        <v>0.625</v>
      </c>
      <c r="G17" s="58"/>
      <c r="H17" s="146">
        <v>0.625</v>
      </c>
      <c r="I17" s="58"/>
    </row>
    <row r="18" spans="2:9" s="1" customFormat="1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s="1" customFormat="1" ht="15" thickTop="1" x14ac:dyDescent="0.15">
      <c r="C19" s="4"/>
      <c r="D19" s="4"/>
      <c r="E19" s="4"/>
      <c r="F19" s="4"/>
      <c r="G19" s="4"/>
      <c r="H19" s="4"/>
      <c r="I19" s="4"/>
    </row>
    <row r="20" spans="2:9" s="1" customFormat="1" ht="14" x14ac:dyDescent="0.15">
      <c r="C20" s="4"/>
      <c r="D20" s="4"/>
      <c r="E20" s="4"/>
      <c r="F20" s="4"/>
      <c r="G20" s="4"/>
      <c r="H20" s="4"/>
      <c r="I20" s="4"/>
    </row>
    <row r="21" spans="2:9" s="1" customFormat="1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18:I18"/>
    <mergeCell ref="C2:I2"/>
    <mergeCell ref="D4:H4"/>
  </mergeCells>
  <conditionalFormatting sqref="C17:C18">
    <cfRule type="expression" dxfId="8" priority="1">
      <formula>AND(DAY(C17)&gt;=1,DAY(C17)&lt;=15)</formula>
    </cfRule>
  </conditionalFormatting>
  <conditionalFormatting sqref="C6:H6">
    <cfRule type="expression" dxfId="7" priority="3">
      <formula>DAY(C6)&gt;8</formula>
    </cfRule>
  </conditionalFormatting>
  <conditionalFormatting sqref="C14:I14 F15 C16:I16 E17 I17 G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7" sqref="C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53"/>
      <c r="G3" s="15" t="s">
        <v>33</v>
      </c>
      <c r="H3" s="15" t="s">
        <v>34</v>
      </c>
      <c r="I3" s="69"/>
    </row>
    <row r="4" spans="2:9" ht="75" customHeight="1" x14ac:dyDescent="0.65">
      <c r="B4" s="65"/>
      <c r="C4" s="123">
        <f>CalendarYear</f>
        <v>2025</v>
      </c>
      <c r="D4" s="173" t="s">
        <v>35</v>
      </c>
      <c r="E4" s="173"/>
      <c r="F4" s="173"/>
      <c r="G4" s="173"/>
      <c r="H4" s="173"/>
      <c r="I4" s="122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38">
        <f t="array" ref="C6:I6">DaysAndWeeks+DATE(CalendarYear,11,1)-WEEKDAY(DATE(CalendarYear,11,1),(WeekStart="M")+1)+1</f>
        <v>45956</v>
      </c>
      <c r="D6" s="32">
        <v>45957</v>
      </c>
      <c r="E6" s="32">
        <v>45958</v>
      </c>
      <c r="F6" s="32">
        <v>45959</v>
      </c>
      <c r="G6" s="32">
        <v>45960</v>
      </c>
      <c r="H6" s="32">
        <v>45961</v>
      </c>
      <c r="I6" s="60">
        <v>45962</v>
      </c>
    </row>
    <row r="7" spans="2:9" s="59" customFormat="1" ht="75" customHeight="1" x14ac:dyDescent="0.15">
      <c r="B7" s="67"/>
      <c r="C7" s="146">
        <v>0.625</v>
      </c>
      <c r="D7" s="146"/>
      <c r="E7" s="146">
        <v>0.625</v>
      </c>
      <c r="F7" s="134"/>
      <c r="G7" s="111">
        <v>0.625</v>
      </c>
      <c r="H7" s="146"/>
      <c r="I7" s="111">
        <v>0.625</v>
      </c>
    </row>
    <row r="8" spans="2:9" s="29" customFormat="1" ht="25" customHeight="1" x14ac:dyDescent="0.2">
      <c r="B8" s="66"/>
      <c r="C8" s="33">
        <f t="array" ref="C8:I8">DaysAndWeeks+DATE(CalendarYear,11,1)-WEEKDAY(DATE(CalendarYear,11,1),(WeekStart="M")+1)+8</f>
        <v>45963</v>
      </c>
      <c r="D8" s="30">
        <v>45964</v>
      </c>
      <c r="E8" s="98">
        <v>45965</v>
      </c>
      <c r="F8" s="30">
        <v>45966</v>
      </c>
      <c r="G8" s="30">
        <v>45967</v>
      </c>
      <c r="H8" s="30">
        <v>45968</v>
      </c>
      <c r="I8" s="60">
        <v>45969</v>
      </c>
    </row>
    <row r="9" spans="2:9" s="59" customFormat="1" ht="75" customHeight="1" x14ac:dyDescent="0.15">
      <c r="B9" s="67"/>
      <c r="D9" s="111">
        <v>0.625</v>
      </c>
      <c r="E9" s="115"/>
      <c r="F9" s="111">
        <v>0.625</v>
      </c>
      <c r="H9" s="111">
        <v>0.625</v>
      </c>
      <c r="I9" s="61"/>
    </row>
    <row r="10" spans="2:9" s="29" customFormat="1" ht="25" customHeight="1" x14ac:dyDescent="0.2">
      <c r="B10" s="66"/>
      <c r="C10" s="33">
        <f t="array" ref="C10:I10">DaysAndWeeks+DATE(CalendarYear,11,1)-WEEKDAY(DATE(CalendarYear,11,1),(WeekStart="M")+1)+15</f>
        <v>45970</v>
      </c>
      <c r="D10" s="30">
        <v>45971</v>
      </c>
      <c r="E10" s="98">
        <v>45972</v>
      </c>
      <c r="F10" s="30">
        <v>45973</v>
      </c>
      <c r="G10" s="30">
        <v>45974</v>
      </c>
      <c r="H10" s="30">
        <v>45975</v>
      </c>
      <c r="I10" s="60">
        <v>45976</v>
      </c>
    </row>
    <row r="11" spans="2:9" s="59" customFormat="1" ht="75" customHeight="1" x14ac:dyDescent="0.15">
      <c r="B11" s="67"/>
      <c r="C11" s="111">
        <v>0.625</v>
      </c>
      <c r="D11" s="136"/>
      <c r="E11" s="111">
        <v>0.625</v>
      </c>
      <c r="F11" s="118"/>
      <c r="G11" s="111">
        <v>0.625</v>
      </c>
      <c r="H11" s="111"/>
      <c r="I11" s="111">
        <v>0.625</v>
      </c>
    </row>
    <row r="12" spans="2:9" s="29" customFormat="1" ht="25" customHeight="1" x14ac:dyDescent="0.2">
      <c r="B12" s="66"/>
      <c r="C12" s="33">
        <f t="array" ref="C12:I12">DaysAndWeeks+DATE(CalendarYear,11,1)-WEEKDAY(DATE(CalendarYear,11,1),(WeekStart="M")+1)+22</f>
        <v>45977</v>
      </c>
      <c r="D12" s="30">
        <v>45978</v>
      </c>
      <c r="E12" s="98">
        <v>45979</v>
      </c>
      <c r="F12" s="30">
        <v>45980</v>
      </c>
      <c r="G12" s="30">
        <v>45981</v>
      </c>
      <c r="H12" s="30">
        <v>45982</v>
      </c>
      <c r="I12" s="60">
        <v>45983</v>
      </c>
    </row>
    <row r="13" spans="2:9" s="59" customFormat="1" ht="75" customHeight="1" x14ac:dyDescent="0.15">
      <c r="B13" s="67"/>
      <c r="D13" s="111">
        <v>0.625</v>
      </c>
      <c r="E13" s="115"/>
      <c r="F13" s="111">
        <v>0.625</v>
      </c>
      <c r="H13" s="111">
        <v>0.625</v>
      </c>
      <c r="I13" s="61"/>
    </row>
    <row r="14" spans="2:9" s="29" customFormat="1" ht="25" customHeight="1" x14ac:dyDescent="0.2">
      <c r="B14" s="66"/>
      <c r="C14" s="33">
        <f t="array" ref="C14:I14">DaysAndWeeks+DATE(CalendarYear,11,1)-WEEKDAY(DATE(CalendarYear,11,1),(WeekStart="M")+1)+29</f>
        <v>45984</v>
      </c>
      <c r="D14" s="30">
        <v>45985</v>
      </c>
      <c r="E14" s="98">
        <v>45986</v>
      </c>
      <c r="F14" s="30">
        <v>45987</v>
      </c>
      <c r="G14" s="98">
        <v>45988</v>
      </c>
      <c r="H14" s="125">
        <v>45989</v>
      </c>
      <c r="I14" s="143">
        <v>45990</v>
      </c>
    </row>
    <row r="15" spans="2:9" s="59" customFormat="1" ht="75" customHeight="1" x14ac:dyDescent="0.15">
      <c r="B15" s="67"/>
      <c r="C15" s="111">
        <v>0.625</v>
      </c>
      <c r="D15" s="136"/>
      <c r="E15" s="111">
        <v>0.625</v>
      </c>
      <c r="F15" s="54"/>
      <c r="G15" s="111">
        <v>0.625</v>
      </c>
      <c r="H15" s="111"/>
      <c r="I15" s="111">
        <v>0.625</v>
      </c>
    </row>
    <row r="16" spans="2:9" s="29" customFormat="1" ht="25" customHeight="1" x14ac:dyDescent="0.2">
      <c r="B16" s="66"/>
      <c r="C16" s="57">
        <f t="array" ref="C16:I16">DaysAndWeeks+DATE(CalendarYear,11,1)-WEEKDAY(DATE(CalendarYear,11,1),(WeekStart="M")+1)+36</f>
        <v>45991</v>
      </c>
      <c r="D16" s="32">
        <v>45992</v>
      </c>
      <c r="E16" s="32">
        <v>45993</v>
      </c>
      <c r="F16" s="32">
        <v>45994</v>
      </c>
      <c r="G16" s="32">
        <v>45995</v>
      </c>
      <c r="H16" s="32">
        <v>45996</v>
      </c>
      <c r="I16" s="62">
        <v>45997</v>
      </c>
    </row>
    <row r="17" spans="2:9" s="59" customFormat="1" ht="75" customHeight="1" x14ac:dyDescent="0.15">
      <c r="B17" s="67"/>
      <c r="C17" s="174"/>
      <c r="D17" s="146">
        <v>0.625</v>
      </c>
      <c r="E17" s="58"/>
      <c r="F17" s="146">
        <v>0.625</v>
      </c>
      <c r="G17" s="58"/>
      <c r="H17" s="146">
        <v>0.625</v>
      </c>
      <c r="I17" s="63"/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70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2:I2"/>
    <mergeCell ref="C18:I18"/>
    <mergeCell ref="D4:H4"/>
  </mergeCells>
  <conditionalFormatting sqref="C17:C18">
    <cfRule type="expression" dxfId="5" priority="1">
      <formula>AND(DAY(C17)&gt;=1,DAY(C17)&lt;=15)</formula>
    </cfRule>
  </conditionalFormatting>
  <conditionalFormatting sqref="C6:H6">
    <cfRule type="expression" dxfId="4" priority="3">
      <formula>DAY(C6)&gt;8</formula>
    </cfRule>
  </conditionalFormatting>
  <conditionalFormatting sqref="C14:I14 F15 C16:I16 E17 I17 G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tabSelected="1" topLeftCell="B1" zoomScaleNormal="100" workbookViewId="0">
      <pane ySplit="5" topLeftCell="A7" activePane="bottomLeft" state="frozen"/>
      <selection pane="bottomLeft" activeCell="F9" sqref="F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70"/>
      <c r="D1" s="70"/>
      <c r="E1" s="70"/>
      <c r="F1" s="70"/>
      <c r="G1" s="70"/>
      <c r="H1" s="70"/>
      <c r="I1" s="70"/>
    </row>
    <row r="2" spans="2:9" ht="75" customHeight="1" thickTop="1" x14ac:dyDescent="0.15">
      <c r="B2" s="65"/>
      <c r="C2" s="160" t="s">
        <v>40</v>
      </c>
      <c r="D2" s="161"/>
      <c r="E2" s="161"/>
      <c r="F2" s="161"/>
      <c r="G2" s="161"/>
      <c r="H2" s="161"/>
      <c r="I2" s="162"/>
    </row>
    <row r="3" spans="2:9" ht="20" customHeight="1" x14ac:dyDescent="0.3">
      <c r="B3" s="65"/>
      <c r="C3" s="51"/>
      <c r="D3" s="52"/>
      <c r="E3" s="52"/>
      <c r="F3" s="53"/>
      <c r="G3" s="15" t="s">
        <v>36</v>
      </c>
      <c r="H3" s="15" t="s">
        <v>37</v>
      </c>
      <c r="I3" s="69"/>
    </row>
    <row r="4" spans="2:9" ht="75" customHeight="1" x14ac:dyDescent="0.65">
      <c r="B4" s="65"/>
      <c r="C4" s="123">
        <f>CalendarYear</f>
        <v>2025</v>
      </c>
      <c r="D4" s="173" t="s">
        <v>38</v>
      </c>
      <c r="E4" s="173"/>
      <c r="F4" s="173"/>
      <c r="G4" s="173"/>
      <c r="H4" s="173"/>
      <c r="I4" s="122"/>
    </row>
    <row r="5" spans="2:9" ht="35" customHeight="1" x14ac:dyDescent="0.15">
      <c r="B5" s="65"/>
      <c r="C5" s="9" t="str">
        <f>WeekStart</f>
        <v>S</v>
      </c>
      <c r="D5" s="9" t="str">
        <f t="shared" ref="D5:I5" si="0">LEFT(TEXT(D6,"ddd"),1)</f>
        <v>M</v>
      </c>
      <c r="E5" s="9" t="str">
        <f t="shared" si="0"/>
        <v>T</v>
      </c>
      <c r="F5" s="9" t="str">
        <f t="shared" si="0"/>
        <v>W</v>
      </c>
      <c r="G5" s="9" t="str">
        <f t="shared" si="0"/>
        <v>T</v>
      </c>
      <c r="H5" s="9" t="str">
        <f t="shared" si="0"/>
        <v>F</v>
      </c>
      <c r="I5" s="10" t="str">
        <f t="shared" si="0"/>
        <v>S</v>
      </c>
    </row>
    <row r="6" spans="2:9" s="29" customFormat="1" ht="25" customHeight="1" x14ac:dyDescent="0.2">
      <c r="B6" s="66"/>
      <c r="C6" s="38">
        <f t="array" ref="C6:I6">DaysAndWeeks+DATE(CalendarYear,12,1)-WEEKDAY(DATE(CalendarYear,12,1),(WeekStart="M")+1)+1</f>
        <v>45991</v>
      </c>
      <c r="D6" s="125">
        <v>45992</v>
      </c>
      <c r="E6" s="125">
        <v>45993</v>
      </c>
      <c r="F6" s="125">
        <v>45994</v>
      </c>
      <c r="G6" s="125">
        <v>45995</v>
      </c>
      <c r="H6" s="30">
        <v>45996</v>
      </c>
      <c r="I6" s="60">
        <v>45997</v>
      </c>
    </row>
    <row r="7" spans="2:9" s="59" customFormat="1" ht="75" customHeight="1" x14ac:dyDescent="0.15">
      <c r="B7" s="67"/>
      <c r="C7" s="146"/>
      <c r="D7" s="111">
        <v>0.625</v>
      </c>
      <c r="E7" s="111"/>
      <c r="F7" s="111">
        <v>0.625</v>
      </c>
      <c r="G7" s="111"/>
      <c r="H7" s="111">
        <v>0.625</v>
      </c>
      <c r="I7" s="111"/>
    </row>
    <row r="8" spans="2:9" s="29" customFormat="1" ht="25" customHeight="1" x14ac:dyDescent="0.2">
      <c r="B8" s="66"/>
      <c r="C8" s="33">
        <f t="array" ref="C8:I8">DaysAndWeeks+DATE(CalendarYear,12,1)-WEEKDAY(DATE(CalendarYear,12,1),(WeekStart="M")+1)+8</f>
        <v>45998</v>
      </c>
      <c r="D8" s="30">
        <v>45999</v>
      </c>
      <c r="E8" s="33">
        <v>46000</v>
      </c>
      <c r="F8" s="30">
        <v>46001</v>
      </c>
      <c r="G8" s="30">
        <v>46002</v>
      </c>
      <c r="H8" s="30">
        <v>46003</v>
      </c>
      <c r="I8" s="60">
        <v>46004</v>
      </c>
    </row>
    <row r="9" spans="2:9" s="59" customFormat="1" ht="75" customHeight="1" x14ac:dyDescent="0.15">
      <c r="B9" s="67"/>
      <c r="C9" s="111">
        <v>0.625</v>
      </c>
      <c r="D9" s="111"/>
      <c r="E9" s="111">
        <v>0.625</v>
      </c>
      <c r="F9" s="111"/>
      <c r="G9" s="111">
        <v>0.625</v>
      </c>
      <c r="H9" s="111"/>
      <c r="I9" s="111">
        <v>0.625</v>
      </c>
    </row>
    <row r="10" spans="2:9" s="29" customFormat="1" ht="25" customHeight="1" x14ac:dyDescent="0.2">
      <c r="B10" s="66"/>
      <c r="C10" s="33">
        <f t="array" ref="C10:I10">DaysAndWeeks+DATE(CalendarYear,12,1)-WEEKDAY(DATE(CalendarYear,12,1),(WeekStart="M")+1)+15</f>
        <v>46005</v>
      </c>
      <c r="D10" s="30">
        <v>46006</v>
      </c>
      <c r="E10" s="30">
        <v>46007</v>
      </c>
      <c r="F10" s="30">
        <v>46008</v>
      </c>
      <c r="G10" s="30">
        <v>46009</v>
      </c>
      <c r="H10" s="30">
        <v>46010</v>
      </c>
      <c r="I10" s="60">
        <v>46011</v>
      </c>
    </row>
    <row r="11" spans="2:9" s="59" customFormat="1" ht="75" customHeight="1" x14ac:dyDescent="0.15">
      <c r="B11" s="67"/>
      <c r="C11" s="111"/>
      <c r="D11" s="111">
        <v>0.625</v>
      </c>
      <c r="E11" s="111"/>
      <c r="F11" s="111">
        <v>0.625</v>
      </c>
      <c r="G11" s="111"/>
      <c r="H11" s="111">
        <v>0.625</v>
      </c>
      <c r="I11" s="111"/>
    </row>
    <row r="12" spans="2:9" s="29" customFormat="1" ht="25" customHeight="1" x14ac:dyDescent="0.2">
      <c r="B12" s="66"/>
      <c r="C12" s="33">
        <f t="array" ref="C12:I12">DaysAndWeeks+DATE(CalendarYear,12,1)-WEEKDAY(DATE(CalendarYear,12,1),(WeekStart="M")+1)+22</f>
        <v>46012</v>
      </c>
      <c r="D12" s="30">
        <v>46013</v>
      </c>
      <c r="E12" s="30">
        <v>46014</v>
      </c>
      <c r="F12" s="30">
        <v>46015</v>
      </c>
      <c r="G12" s="30">
        <v>46016</v>
      </c>
      <c r="H12" s="30">
        <v>46017</v>
      </c>
      <c r="I12" s="60">
        <v>46018</v>
      </c>
    </row>
    <row r="13" spans="2:9" s="59" customFormat="1" ht="75" customHeight="1" x14ac:dyDescent="0.15">
      <c r="B13" s="67"/>
      <c r="C13" s="111">
        <v>0.625</v>
      </c>
      <c r="D13" s="111"/>
      <c r="E13" s="111">
        <v>0.625</v>
      </c>
      <c r="F13" s="111"/>
      <c r="G13" s="111">
        <v>0.625</v>
      </c>
      <c r="H13" s="111"/>
      <c r="I13" s="111">
        <v>0.625</v>
      </c>
    </row>
    <row r="14" spans="2:9" s="29" customFormat="1" ht="25" customHeight="1" x14ac:dyDescent="0.2">
      <c r="B14" s="66"/>
      <c r="C14" s="33">
        <f t="array" ref="C14:I14">DaysAndWeeks+DATE(CalendarYear,12,1)-WEEKDAY(DATE(CalendarYear,12,1),(WeekStart="M")+1)+29</f>
        <v>46019</v>
      </c>
      <c r="D14" s="30">
        <v>46020</v>
      </c>
      <c r="E14" s="30">
        <v>46021</v>
      </c>
      <c r="F14" s="30">
        <v>46022</v>
      </c>
      <c r="G14" s="32">
        <v>46023</v>
      </c>
      <c r="H14" s="32">
        <v>46024</v>
      </c>
      <c r="I14" s="62">
        <v>46025</v>
      </c>
    </row>
    <row r="15" spans="2:9" s="59" customFormat="1" ht="75" customHeight="1" x14ac:dyDescent="0.15">
      <c r="B15" s="67"/>
      <c r="C15" s="111"/>
      <c r="D15" s="111">
        <v>0.625</v>
      </c>
      <c r="E15" s="111"/>
      <c r="F15" s="111">
        <v>0.625</v>
      </c>
      <c r="G15" s="146"/>
      <c r="H15" s="146">
        <v>0.625</v>
      </c>
      <c r="I15" s="146"/>
    </row>
    <row r="16" spans="2:9" s="29" customFormat="1" ht="25" customHeight="1" x14ac:dyDescent="0.2">
      <c r="B16" s="66"/>
      <c r="C16" s="38">
        <f t="array" ref="C16:I16">DaysAndWeeks+DATE(CalendarYear,12,1)-WEEKDAY(DATE(CalendarYear,12,1),(WeekStart="M")+1)+36</f>
        <v>46026</v>
      </c>
      <c r="D16" s="32">
        <v>46027</v>
      </c>
      <c r="E16" s="57">
        <v>46028</v>
      </c>
      <c r="F16" s="32">
        <v>46029</v>
      </c>
      <c r="G16" s="32">
        <v>46030</v>
      </c>
      <c r="H16" s="57">
        <v>46031</v>
      </c>
      <c r="I16" s="62">
        <v>46032</v>
      </c>
    </row>
    <row r="17" spans="2:9" s="59" customFormat="1" ht="75" customHeight="1" x14ac:dyDescent="0.15">
      <c r="B17" s="67"/>
      <c r="C17" s="146">
        <v>0.625</v>
      </c>
      <c r="D17" s="146"/>
      <c r="E17" s="146">
        <v>0.625</v>
      </c>
      <c r="F17" s="146"/>
      <c r="G17" s="146">
        <v>0.625</v>
      </c>
      <c r="H17" s="146"/>
      <c r="I17" s="146">
        <v>0.625</v>
      </c>
    </row>
    <row r="18" spans="2:9" ht="125" customHeight="1" thickBot="1" x14ac:dyDescent="0.2">
      <c r="B18" s="65"/>
      <c r="C18" s="163" t="s">
        <v>5</v>
      </c>
      <c r="D18" s="164"/>
      <c r="E18" s="164"/>
      <c r="F18" s="164"/>
      <c r="G18" s="164"/>
      <c r="H18" s="164"/>
      <c r="I18" s="165"/>
    </row>
    <row r="19" spans="2:9" ht="15" thickTop="1" x14ac:dyDescent="0.15">
      <c r="C19" s="4"/>
      <c r="D19" s="4"/>
      <c r="E19" s="4"/>
      <c r="F19" s="4"/>
      <c r="G19" s="4"/>
      <c r="H19" s="4"/>
      <c r="I19" s="4"/>
    </row>
    <row r="20" spans="2:9" x14ac:dyDescent="0.15">
      <c r="C20" s="4"/>
      <c r="D20" s="4"/>
      <c r="E20" s="4"/>
      <c r="F20" s="4"/>
      <c r="G20" s="4"/>
      <c r="H20" s="4"/>
      <c r="I20" s="4"/>
    </row>
    <row r="21" spans="2:9" ht="66" customHeight="1" x14ac:dyDescent="0.15">
      <c r="C21" s="4"/>
      <c r="D21" s="4"/>
      <c r="E21" s="4"/>
      <c r="F21" s="4"/>
      <c r="G21" s="4"/>
      <c r="H21" s="4"/>
      <c r="I21" s="4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C16:I16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4C7F9-FE0D-4D11-BD2E-35CDFCA06F89}">
  <ds:schemaRefs>
    <ds:schemaRef ds:uri="http://purl.org/dc/dcmitype/"/>
    <ds:schemaRef ds:uri="2f96a5e1-f937-4986-abb4-c031ec480b2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88389d-f9a4-418b-a8d8-f0ed3f71e6c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2025-03-04T20:31:16Z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