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cmahanna/Downloads/"/>
    </mc:Choice>
  </mc:AlternateContent>
  <xr:revisionPtr revIDLastSave="0" documentId="8_{8EBB76B2-1211-3344-90A3-66F3558210AA}" xr6:coauthVersionLast="47" xr6:coauthVersionMax="47" xr10:uidLastSave="{00000000-0000-0000-0000-000000000000}"/>
  <bookViews>
    <workbookView xWindow="320" yWindow="760" windowWidth="31540" windowHeight="2006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/>
  <c r="C5" i="5"/>
  <c r="C5" i="13"/>
  <c r="C5" i="12"/>
  <c r="C5" i="11"/>
  <c r="C5" i="10"/>
  <c r="C5" i="9"/>
  <c r="C5" i="8"/>
  <c r="C5" i="7"/>
  <c r="C5" i="6"/>
  <c r="C5" i="4"/>
  <c r="C5" i="3"/>
  <c r="C5" i="2"/>
  <c r="C4" i="2"/>
  <c r="C16" i="3" a="1"/>
  <c r="I16" i="3"/>
  <c r="C6" i="7" a="1"/>
  <c r="H6" i="7"/>
  <c r="H5" i="7"/>
  <c r="C6" i="12" a="1"/>
  <c r="H6" i="12"/>
  <c r="H5" i="12"/>
  <c r="H8" i="9"/>
  <c r="C6" i="3" a="1"/>
  <c r="I6" i="3"/>
  <c r="I5" i="3"/>
  <c r="C14" i="4" a="1"/>
  <c r="C14" i="4"/>
  <c r="C14" i="7" a="1"/>
  <c r="E14" i="7"/>
  <c r="C14" i="13" a="1"/>
  <c r="D14" i="13"/>
  <c r="C14" i="3" a="1"/>
  <c r="C14" i="3"/>
  <c r="C12" i="9" a="1"/>
  <c r="I12" i="9"/>
  <c r="C10" i="9" a="1"/>
  <c r="C10" i="9"/>
  <c r="C6" i="5" a="1"/>
  <c r="G6" i="5"/>
  <c r="G5" i="5"/>
  <c r="C10" i="5" a="1"/>
  <c r="H10" i="5"/>
  <c r="C6" i="10" a="1"/>
  <c r="G6" i="10"/>
  <c r="G5" i="10"/>
  <c r="C12" i="5" a="1"/>
  <c r="F12" i="5"/>
  <c r="C14" i="10" a="1"/>
  <c r="D14" i="10"/>
  <c r="C6" i="6" a="1"/>
  <c r="C6" i="6"/>
  <c r="C10" i="2" a="1"/>
  <c r="F10" i="2"/>
  <c r="C16" i="6" a="1"/>
  <c r="F16" i="6"/>
  <c r="C6" i="13" a="1"/>
  <c r="H6" i="13"/>
  <c r="H5" i="13"/>
  <c r="F12" i="9"/>
  <c r="G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/>
  <c r="I5" i="11"/>
  <c r="C8" i="12" a="1"/>
  <c r="C8" i="13" a="1"/>
  <c r="C16" i="13" a="1"/>
  <c r="C16" i="11" a="1"/>
  <c r="E16" i="11"/>
  <c r="C8" i="3" a="1"/>
  <c r="C10" i="6" a="1"/>
  <c r="C14" i="8" a="1"/>
  <c r="C8" i="11" a="1"/>
  <c r="C8" i="11"/>
  <c r="C10" i="12" a="1"/>
  <c r="C16" i="8" a="1"/>
  <c r="C6" i="4" a="1"/>
  <c r="C8" i="4" a="1"/>
  <c r="C14" i="5" a="1"/>
  <c r="C8" i="7" a="1"/>
  <c r="C14" i="9" a="1"/>
  <c r="C10" i="10" a="1"/>
  <c r="C10" i="11" a="1"/>
  <c r="F10" i="1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/>
  <c r="C16" i="4" a="1"/>
  <c r="C6" i="2" a="1"/>
  <c r="C8" i="5" a="1"/>
  <c r="C16" i="5" a="1"/>
  <c r="C16" i="9" a="1"/>
  <c r="C12" i="10" a="1"/>
  <c r="C14" i="11" a="1"/>
  <c r="H14" i="1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6" i="12"/>
  <c r="I5" i="12"/>
  <c r="F6" i="12"/>
  <c r="F5" i="12"/>
  <c r="C6" i="12"/>
  <c r="G14" i="4"/>
  <c r="D6" i="7"/>
  <c r="D5" i="7"/>
  <c r="C6" i="7"/>
  <c r="I6" i="7"/>
  <c r="I5" i="7"/>
  <c r="E16" i="3"/>
  <c r="H10" i="11"/>
  <c r="E6" i="3"/>
  <c r="E5" i="3"/>
  <c r="F6" i="3"/>
  <c r="F5" i="3"/>
  <c r="C12" i="9"/>
  <c r="H14" i="4"/>
  <c r="C10" i="11"/>
  <c r="H6" i="3"/>
  <c r="H5" i="3"/>
  <c r="E6" i="11"/>
  <c r="E5" i="11"/>
  <c r="E14" i="4"/>
  <c r="G10" i="11"/>
  <c r="D14" i="3"/>
  <c r="D16" i="11"/>
  <c r="H14" i="3"/>
  <c r="F16" i="11"/>
  <c r="G16" i="11"/>
  <c r="F14" i="3"/>
  <c r="E10" i="11"/>
  <c r="H16" i="11"/>
  <c r="H6" i="5"/>
  <c r="H5" i="5"/>
  <c r="D10" i="11"/>
  <c r="H16" i="3"/>
  <c r="G14" i="3"/>
  <c r="C12" i="11"/>
  <c r="E12" i="11"/>
  <c r="G14" i="7"/>
  <c r="I10" i="11"/>
  <c r="H14" i="7"/>
  <c r="H8" i="11"/>
  <c r="I14" i="3"/>
  <c r="E6" i="10"/>
  <c r="E5" i="10"/>
  <c r="F14" i="11"/>
  <c r="F12" i="11"/>
  <c r="D12" i="11"/>
  <c r="E14" i="11"/>
  <c r="C14" i="11"/>
  <c r="F14" i="13"/>
  <c r="G14" i="11"/>
  <c r="C16" i="3"/>
  <c r="F6" i="7"/>
  <c r="F5" i="7"/>
  <c r="E6" i="7"/>
  <c r="E5" i="7"/>
  <c r="E16" i="6"/>
  <c r="H10" i="9"/>
  <c r="H6" i="10"/>
  <c r="H5" i="10"/>
  <c r="H12" i="9"/>
  <c r="F6" i="10"/>
  <c r="F5" i="10"/>
  <c r="I14" i="7"/>
  <c r="I10" i="9"/>
  <c r="C16" i="6"/>
  <c r="H10" i="2"/>
  <c r="I14" i="4"/>
  <c r="I6" i="10"/>
  <c r="I5" i="10"/>
  <c r="E14" i="3"/>
  <c r="E12" i="9"/>
  <c r="H12" i="5"/>
  <c r="D6" i="3"/>
  <c r="D5" i="3"/>
  <c r="I14" i="13"/>
  <c r="E6" i="12"/>
  <c r="E5" i="12"/>
  <c r="I6" i="5"/>
  <c r="I5" i="5"/>
  <c r="G6" i="3"/>
  <c r="G5" i="3"/>
  <c r="G6" i="7"/>
  <c r="G5" i="7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/>
  <c r="E14" i="13"/>
  <c r="E10" i="5"/>
  <c r="D6" i="12"/>
  <c r="D5" i="12"/>
  <c r="E6" i="5"/>
  <c r="E5" i="5"/>
  <c r="C6" i="3"/>
  <c r="G14" i="13"/>
  <c r="F14" i="10"/>
  <c r="H14" i="13"/>
  <c r="D14" i="7"/>
  <c r="F14" i="7"/>
  <c r="G14" i="10"/>
  <c r="D16" i="6"/>
  <c r="C14" i="10"/>
  <c r="G6" i="12"/>
  <c r="G5" i="12"/>
  <c r="I10" i="2"/>
  <c r="G12" i="9"/>
  <c r="D6" i="5"/>
  <c r="D5" i="5"/>
  <c r="G16" i="6"/>
  <c r="I16" i="6"/>
  <c r="F6" i="5"/>
  <c r="F5" i="5"/>
  <c r="H16" i="6"/>
  <c r="C6" i="13"/>
  <c r="D6" i="13"/>
  <c r="D5" i="13"/>
  <c r="I12" i="5"/>
  <c r="G12" i="5"/>
  <c r="D12" i="5"/>
  <c r="E12" i="5"/>
  <c r="C12" i="5"/>
  <c r="E6" i="13"/>
  <c r="E5" i="13"/>
  <c r="H14" i="10"/>
  <c r="D10" i="2"/>
  <c r="G10" i="5"/>
  <c r="F6" i="13"/>
  <c r="F5" i="13"/>
  <c r="C6" i="5"/>
  <c r="I14" i="10"/>
  <c r="G6" i="13"/>
  <c r="G5" i="13"/>
  <c r="E6" i="6"/>
  <c r="E5" i="6"/>
  <c r="F6" i="6"/>
  <c r="F5" i="6"/>
  <c r="G6" i="6"/>
  <c r="G5" i="6"/>
  <c r="I6" i="6"/>
  <c r="I5" i="6"/>
  <c r="H6" i="6"/>
  <c r="H5" i="6"/>
  <c r="E10" i="9"/>
  <c r="F10" i="9"/>
  <c r="D10" i="9"/>
  <c r="G10" i="9"/>
  <c r="C10" i="2"/>
  <c r="D6" i="10"/>
  <c r="D5" i="10"/>
  <c r="I6" i="13"/>
  <c r="I5" i="13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/>
  <c r="G6" i="2"/>
  <c r="G5" i="2"/>
  <c r="D6" i="2"/>
  <c r="D5" i="2"/>
  <c r="C6" i="2"/>
  <c r="F6" i="2"/>
  <c r="F5" i="2"/>
  <c r="I6" i="2"/>
  <c r="I5" i="2"/>
  <c r="H6" i="2"/>
  <c r="H5" i="2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/>
  <c r="I6" i="8"/>
  <c r="I5" i="8"/>
  <c r="G6" i="8"/>
  <c r="G5" i="8"/>
  <c r="F6" i="8"/>
  <c r="F5" i="8"/>
  <c r="C6" i="8"/>
  <c r="E6" i="8"/>
  <c r="E5" i="8"/>
  <c r="D6" i="8"/>
  <c r="D5" i="8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/>
  <c r="D6" i="9"/>
  <c r="D5" i="9"/>
  <c r="C6" i="9"/>
  <c r="I6" i="9"/>
  <c r="I5" i="9"/>
  <c r="H6" i="9"/>
  <c r="H5" i="9"/>
  <c r="F6" i="9"/>
  <c r="F5" i="9"/>
  <c r="G6" i="9"/>
  <c r="G5" i="9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/>
  <c r="I6" i="4"/>
  <c r="I5" i="4"/>
  <c r="D6" i="4"/>
  <c r="D5" i="4"/>
  <c r="C6" i="4"/>
  <c r="F6" i="4"/>
  <c r="F5" i="4"/>
  <c r="E6" i="4"/>
  <c r="E5" i="4"/>
  <c r="H6" i="4"/>
  <c r="H5" i="4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/>
  <c r="E8" i="11"/>
  <c r="F8" i="11"/>
  <c r="I8" i="11"/>
  <c r="C6" i="11"/>
  <c r="D6" i="11"/>
  <c r="D5" i="1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<sst xmlns="http://schemas.openxmlformats.org/spreadsheetml/2006/main" count="64" uniqueCount="41">
  <si>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</si>
  <si>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</si>
  <si>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</si>
  <si>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</si>
  <si>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</si>
  <si>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</si>
  <si>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</si>
  <si>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</si>
  <si>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</si>
  <si>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</si>
  <si>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</si>
  <si>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</si>
  <si>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</si>
  <si>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</si>
  <si>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</si>
  <si>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</si>
  <si>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</si>
  <si>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</si>
  <si>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</si>
  <si>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</si>
  <si>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</si>
  <si>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</si>
  <si>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</si>
  <si>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</si>
  <si>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</si>
  <si>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</si>
  <si>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</si>
  <si>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</si>
  <si>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</si>
  <si>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</si>
  <si>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</si>
  <si>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</si>
  <si>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</si>
  <si>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</si>
  <si>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</si>
  <si>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</si>
  <si>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</si>
  <si>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</si>
  <si>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</si>
  <si>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 xml:space="preserve"> 3:00 PM</t>
  </si>
  <si>
    <t>60/40 Alternating Weekends w/Midweek Visit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</si>
</sst>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43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9"/>
      <color rgb="FF000000"/>
      <name val="Montserrat Regular"/>
      <charset val="1"/>
    </font>
    <font>
      <b/>
      <sz val="38"/>
      <color theme="0"/>
      <name val="Montserrat Regular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1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  <border>
      <left style="hair">
        <color rgb="FF8FC6E2"/>
      </left>
      <right style="hair">
        <color rgb="FF8FC6E2"/>
      </right>
      <top/>
      <bottom style="thin">
        <color theme="4" tint="0.59999389629810485"/>
      </bottom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57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3" fillId="0" borderId="0" xfId="0" applyFont="1">
      <alignment horizontal="left" vertical="top" wrapText="1" indent="1"/>
    </xf>
    <xf numFmtId="0" fontId="12" fillId="0" borderId="15" xfId="11" applyFont="1" applyBorder="1">
      <alignment horizontal="left" vertical="top" wrapText="1" inden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2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3" xfId="4" applyFont="1" applyFill="1" applyBorder="1">
      <alignment horizontal="left" indent="1"/>
    </xf>
    <xf numFmtId="164" fontId="23" fillId="5" borderId="11" xfId="4" applyFont="1" applyFill="1" applyBorder="1">
      <alignment horizontal="left" indent="1"/>
    </xf>
    <xf numFmtId="164" fontId="23" fillId="0" borderId="11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3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3" xfId="4" applyFont="1" applyBorder="1">
      <alignment horizontal="left" indent="1"/>
    </xf>
    <xf numFmtId="164" fontId="27" fillId="0" borderId="11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3" xfId="4" applyFont="1" applyFill="1" applyBorder="1">
      <alignment horizontal="left" indent="1"/>
    </xf>
    <xf numFmtId="164" fontId="27" fillId="0" borderId="24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164" fontId="29" fillId="3" borderId="23" xfId="4" applyFont="1" applyFill="1" applyBorder="1">
      <alignment horizontal="left" indent="1"/>
    </xf>
    <xf numFmtId="164" fontId="27" fillId="3" borderId="11" xfId="4" applyFont="1" applyFill="1" applyBorder="1">
      <alignment horizontal="left" inden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3" borderId="22" xfId="11" applyFont="1" applyFill="1" applyBorder="1" applyAlignment="1">
      <alignment horizontal="left" vertical="top" wrapText="1"/>
    </xf>
    <xf numFmtId="0" fontId="34" fillId="2" borderId="0" xfId="7" applyFont="1" applyFill="1" applyBorder="1">
      <alignment horizontal="left"/>
    </xf>
    <xf numFmtId="0" fontId="35" fillId="2" borderId="0" xfId="5" applyFont="1" applyFill="1">
      <alignment horizontal="center" vertical="top"/>
    </xf>
    <xf numFmtId="0" fontId="36" fillId="2" borderId="0" xfId="3" applyFont="1" applyFill="1" applyAlignment="1">
      <alignment horizontal="left" vertical="top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2" xfId="11" applyFont="1" applyFill="1" applyBorder="1" applyAlignment="1">
      <alignment horizontal="left" vertical="top" wrapText="1"/>
    </xf>
    <xf numFmtId="164" fontId="27" fillId="0" borderId="13" xfId="4" applyFont="1" applyBorder="1">
      <alignment horizontal="left" indent="1"/>
    </xf>
    <xf numFmtId="0" fontId="11" fillId="0" borderId="15" xfId="11" applyFont="1" applyBorder="1" applyAlignment="1">
      <alignment horizontal="left" vertical="top" wrapText="1"/>
    </xf>
    <xf numFmtId="164" fontId="27" fillId="3" borderId="13" xfId="4" applyFont="1" applyFill="1" applyBorder="1">
      <alignment horizontal="left" indent="1"/>
    </xf>
    <xf numFmtId="0" fontId="11" fillId="3" borderId="15" xfId="11" applyFont="1" applyFill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164" fontId="27" fillId="3" borderId="15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5" fillId="2" borderId="6" xfId="5" applyFont="1" applyFill="1" applyBorder="1">
      <alignment horizontal="center" vertical="top"/>
    </xf>
    <xf numFmtId="0" fontId="9" fillId="0" borderId="26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3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5" xfId="11" applyFont="1" applyBorder="1" applyAlignment="1">
      <alignment horizontal="left" vertical="top" wrapText="1"/>
    </xf>
    <xf numFmtId="164" fontId="30" fillId="7" borderId="13" xfId="4" applyFont="1" applyFill="1" applyBorder="1">
      <alignment horizontal="left" indent="1"/>
    </xf>
    <xf numFmtId="0" fontId="33" fillId="7" borderId="15" xfId="11" applyFont="1" applyFill="1" applyBorder="1" applyAlignment="1">
      <alignment horizontal="left" vertical="top" wrapText="1"/>
    </xf>
    <xf numFmtId="164" fontId="27" fillId="7" borderId="13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6" xfId="4" applyFont="1" applyBorder="1">
      <alignment horizontal="left" indent="1"/>
    </xf>
    <xf numFmtId="0" fontId="33" fillId="3" borderId="15" xfId="11" applyFont="1" applyFill="1" applyBorder="1" applyAlignment="1">
      <alignment horizontal="left" vertical="top" wrapText="1"/>
    </xf>
    <xf numFmtId="0" fontId="13" fillId="3" borderId="15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27" fillId="3" borderId="16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5" xfId="11" applyFont="1" applyFill="1" applyBorder="1">
      <alignment horizontal="left" vertical="top" wrapText="1" indent="1"/>
    </xf>
    <xf numFmtId="0" fontId="28" fillId="2" borderId="0" xfId="7" applyFont="1" applyFill="1" applyBorder="1">
      <alignment horizontal="left"/>
    </xf>
    <xf numFmtId="0" fontId="37" fillId="2" borderId="0" xfId="5" applyFont="1" applyFill="1">
      <alignment horizontal="center" vertical="top"/>
    </xf>
    <xf numFmtId="0" fontId="38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164" fontId="23" fillId="3" borderId="23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3" xfId="4" applyFont="1" applyBorder="1">
      <alignment horizontal="left" indent="1"/>
    </xf>
    <xf numFmtId="0" fontId="37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6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3" xfId="4" applyFont="1" applyFill="1" applyBorder="1">
      <alignment horizontal="left" indent="1"/>
    </xf>
    <xf numFmtId="0" fontId="13" fillId="0" borderId="16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164" fontId="27" fillId="0" borderId="23" xfId="4" applyFont="1" applyFill="1" applyBorder="1">
      <alignment horizontal="left" indent="1"/>
    </xf>
    <xf numFmtId="164" fontId="27" fillId="0" borderId="11" xfId="4" applyFont="1" applyFill="1" applyBorder="1">
      <alignment horizontal="left" indent="1"/>
    </xf>
    <xf numFmtId="164" fontId="27" fillId="0" borderId="16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18" fontId="11" fillId="5" borderId="14" xfId="11" applyNumberFormat="1" applyFont="1" applyFill="1" applyBorder="1" applyAlignment="1">
      <alignment horizontal="center" vertical="top" wrapText="1"/>
    </xf>
    <xf numFmtId="18" fontId="11" fillId="0" borderId="11" xfId="11" applyNumberFormat="1" applyFont="1" applyBorder="1" applyAlignment="1">
      <alignment horizontal="center" vertical="top" wrapText="1"/>
    </xf>
    <xf numFmtId="18" fontId="33" fillId="0" borderId="22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0" fontId="39" fillId="8" borderId="7" xfId="10" applyFont="1" applyFill="1" applyBorder="1" applyAlignment="1">
      <alignment horizontal="center" vertical="center"/>
    </xf>
    <xf numFmtId="49" fontId="24" fillId="2" borderId="21" xfId="0" applyNumberFormat="1" applyFont="1" applyFill="1" applyBorder="1" applyAlignment="1"/>
    <xf numFmtId="0" fontId="40" fillId="2" borderId="29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0" fontId="12" fillId="3" borderId="15" xfId="0" applyFont="1" applyFill="1" applyBorder="1">
      <alignment horizontal="left" vertical="top" wrapText="1" indent="1"/>
    </xf>
    <xf numFmtId="164" fontId="23" fillId="3" borderId="12" xfId="4" applyFont="1" applyFill="1" applyBorder="1">
      <alignment horizontal="left" indent="1"/>
    </xf>
    <xf numFmtId="164" fontId="27" fillId="5" borderId="12" xfId="4" applyFont="1" applyFill="1" applyBorder="1">
      <alignment horizontal="left" indent="1"/>
    </xf>
    <xf numFmtId="18" fontId="11" fillId="3" borderId="9" xfId="11" applyNumberFormat="1" applyFont="1" applyFill="1" applyBorder="1" applyAlignment="1">
      <alignment horizontal="center" vertical="top" wrapText="1"/>
    </xf>
    <xf numFmtId="164" fontId="30" fillId="0" borderId="8" xfId="4" applyFont="1" applyFill="1" applyBorder="1">
      <alignment horizontal="left" indent="1"/>
    </xf>
    <xf numFmtId="18" fontId="11" fillId="3" borderId="28" xfId="11" applyNumberFormat="1" applyFont="1" applyFill="1" applyBorder="1" applyAlignment="1">
      <alignment horizontal="center" vertical="top" wrapText="1"/>
    </xf>
    <xf numFmtId="0" fontId="11" fillId="3" borderId="15" xfId="11" applyFont="1" applyFill="1" applyBorder="1">
      <alignment horizontal="left" vertical="top" wrapText="1" indent="1"/>
    </xf>
    <xf numFmtId="18" fontId="41" fillId="0" borderId="22" xfId="0" applyNumberFormat="1" applyFont="1" applyBorder="1" applyAlignment="1">
      <alignment horizontal="center" vertical="top" wrapText="1"/>
    </xf>
    <xf numFmtId="18" fontId="11" fillId="0" borderId="30" xfId="11" applyNumberFormat="1" applyFont="1" applyBorder="1" applyAlignment="1">
      <alignment horizontal="center" vertical="top" wrapText="1"/>
    </xf>
    <xf numFmtId="18" fontId="11" fillId="5" borderId="9" xfId="0" applyNumberFormat="1" applyFont="1" applyFill="1" applyBorder="1" applyAlignment="1">
      <alignment horizontal="center" vertical="top" wrapText="1"/>
    </xf>
    <xf numFmtId="0" fontId="33" fillId="5" borderId="9" xfId="11" applyFont="1" applyFill="1" applyBorder="1" applyAlignment="1">
      <alignment horizontal="left" vertical="top" wrapText="1"/>
    </xf>
    <xf numFmtId="164" fontId="30" fillId="5" borderId="8" xfId="4" applyFont="1" applyFill="1" applyBorder="1">
      <alignment horizontal="left" indent="1"/>
    </xf>
    <xf numFmtId="19" fontId="33" fillId="5" borderId="9" xfId="11" applyNumberFormat="1" applyFont="1" applyFill="1" applyBorder="1" applyAlignment="1">
      <alignment horizontal="center" vertical="top" wrapText="1"/>
    </xf>
    <xf numFmtId="0" fontId="33" fillId="3" borderId="0" xfId="0" applyFont="1" applyFill="1" applyAlignment="1">
      <alignment horizontal="left" vertical="top" wrapText="1"/>
    </xf>
    <xf numFmtId="164" fontId="27" fillId="5" borderId="13" xfId="4" applyFont="1" applyFill="1" applyBorder="1">
      <alignment horizontal="left" indent="1"/>
    </xf>
    <xf numFmtId="0" fontId="33" fillId="5" borderId="15" xfId="11" applyFont="1" applyFill="1" applyBorder="1" applyAlignment="1">
      <alignment horizontal="left" vertical="top" wrapText="1"/>
    </xf>
    <xf numFmtId="164" fontId="27" fillId="5" borderId="23" xfId="4" applyFont="1" applyFill="1" applyBorder="1">
      <alignment horizontal="left" indent="1"/>
    </xf>
    <xf numFmtId="18" fontId="33" fillId="3" borderId="22" xfId="11" applyNumberFormat="1" applyFont="1" applyFill="1" applyBorder="1" applyAlignment="1">
      <alignment horizontal="center" vertical="top" wrapText="1"/>
    </xf>
    <xf numFmtId="164" fontId="27" fillId="3" borderId="24" xfId="4" applyFont="1" applyFill="1" applyBorder="1">
      <alignment horizontal="left" indent="1"/>
    </xf>
    <xf numFmtId="0" fontId="11" fillId="3" borderId="0" xfId="0" applyFont="1" applyFill="1" applyAlignment="1">
      <alignment horizontal="left" vertical="top" wrapText="1"/>
    </xf>
    <xf numFmtId="0" fontId="11" fillId="5" borderId="22" xfId="11" applyFont="1" applyFill="1" applyBorder="1" applyAlignment="1">
      <alignment horizontal="left" vertical="top" wrapText="1"/>
    </xf>
    <xf numFmtId="19" fontId="11" fillId="5" borderId="9" xfId="11" applyNumberFormat="1" applyFont="1" applyFill="1" applyBorder="1" applyAlignment="1">
      <alignment horizontal="center" vertical="top" wrapText="1"/>
    </xf>
    <xf numFmtId="18" fontId="33" fillId="5" borderId="9" xfId="11" applyNumberFormat="1" applyFont="1" applyFill="1" applyBorder="1" applyAlignment="1">
      <alignment horizontal="center" vertical="top" wrapText="1"/>
    </xf>
    <xf numFmtId="164" fontId="27" fillId="5" borderId="0" xfId="4" applyFont="1" applyFill="1" applyBorder="1">
      <alignment horizontal="left" indent="1"/>
    </xf>
    <xf numFmtId="0" fontId="33" fillId="3" borderId="15" xfId="0" applyFont="1" applyFill="1" applyBorder="1" applyAlignment="1">
      <alignment horizontal="left" vertical="top" wrapText="1"/>
    </xf>
    <xf numFmtId="0" fontId="11" fillId="5" borderId="15" xfId="11" applyFont="1" applyFill="1" applyBorder="1" applyAlignment="1">
      <alignment horizontal="left" vertical="top" wrapText="1"/>
    </xf>
    <xf numFmtId="18" fontId="41" fillId="3" borderId="22" xfId="0" applyNumberFormat="1" applyFont="1" applyFill="1" applyBorder="1" applyAlignment="1">
      <alignment horizontal="center" vertical="top" wrapText="1"/>
    </xf>
    <xf numFmtId="0" fontId="13" fillId="3" borderId="0" xfId="0" applyFont="1" applyFill="1">
      <alignment horizontal="left" vertical="top" wrapText="1" indent="1"/>
    </xf>
    <xf numFmtId="18" fontId="11" fillId="3" borderId="30" xfId="11" applyNumberFormat="1" applyFont="1" applyFill="1" applyBorder="1" applyAlignment="1">
      <alignment horizontal="center" vertical="top" wrapText="1"/>
    </xf>
    <xf numFmtId="18" fontId="41" fillId="0" borderId="9" xfId="0" applyNumberFormat="1" applyFont="1" applyBorder="1" applyAlignment="1">
      <alignment horizontal="center" vertical="top" wrapText="1"/>
    </xf>
    <xf numFmtId="18" fontId="41" fillId="3" borderId="9" xfId="0" applyNumberFormat="1" applyFont="1" applyFill="1" applyBorder="1" applyAlignment="1">
      <alignment horizontal="center" vertical="top" wrapText="1"/>
    </xf>
    <xf numFmtId="0" fontId="4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7" xfId="11" applyFont="1" applyFill="1" applyBorder="1">
      <alignment horizontal="left" vertical="top" wrapText="1" indent="1"/>
    </xf>
    <xf numFmtId="0" fontId="15" fillId="6" borderId="18" xfId="11" applyFont="1" applyFill="1" applyBorder="1">
      <alignment horizontal="left" vertical="top" wrapText="1" indent="1"/>
    </xf>
    <xf numFmtId="0" fontId="15" fillId="6" borderId="19" xfId="11" applyFont="1" applyFill="1" applyBorder="1">
      <alignment horizontal="left" vertical="top" wrapText="1" indent="1"/>
    </xf>
    <xf numFmtId="49" fontId="24" fillId="2" borderId="20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5" xfId="11" applyFont="1" applyFill="1" applyBorder="1">
      <alignment horizontal="left" vertical="top" wrapText="1" indent="1"/>
    </xf>
    <xf numFmtId="0" fontId="15" fillId="6" borderId="26" xfId="11" applyFont="1" applyFill="1" applyBorder="1">
      <alignment horizontal="left" vertical="top" wrapText="1" indent="1"/>
    </xf>
    <xf numFmtId="0" fontId="15" fillId="6" borderId="27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0" xfId="0" applyNumberFormat="1" applyFont="1" applyFill="1" applyBorder="1" applyAlignment="1">
      <alignment horizontal="center"/>
    </xf>
    <xf numFmtId="49" fontId="24" fillId="2" borderId="20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3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8</xdr:row>
      <xdr:rowOff>189948</xdr:rowOff>
    </xdr:from>
    <xdr:to>
      <xdr:col>4</xdr:col>
      <xdr:colOff>1231900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33400" y="4571448"/>
          <a:ext cx="618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191054</xdr:rowOff>
    </xdr:from>
    <xdr:to>
      <xdr:col>2</xdr:col>
      <xdr:colOff>1193800</xdr:colOff>
      <xdr:row>10</xdr:row>
      <xdr:rowOff>508554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46100" y="5842554"/>
          <a:ext cx="118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1143000</xdr:colOff>
      <xdr:row>12</xdr:row>
      <xdr:rowOff>164549</xdr:rowOff>
    </xdr:from>
    <xdr:to>
      <xdr:col>7</xdr:col>
      <xdr:colOff>1193800</xdr:colOff>
      <xdr:row>12</xdr:row>
      <xdr:rowOff>482048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05900" y="7086049"/>
          <a:ext cx="500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12</xdr:row>
      <xdr:rowOff>164549</xdr:rowOff>
    </xdr:from>
    <xdr:to>
      <xdr:col>5</xdr:col>
      <xdr:colOff>1143000</xdr:colOff>
      <xdr:row>12</xdr:row>
      <xdr:rowOff>482048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680200" y="7086049"/>
          <a:ext cx="24257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181648</xdr:rowOff>
    </xdr:from>
    <xdr:to>
      <xdr:col>2</xdr:col>
      <xdr:colOff>1168400</xdr:colOff>
      <xdr:row>14</xdr:row>
      <xdr:rowOff>499147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58800" y="8373148"/>
          <a:ext cx="11430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1181100</xdr:colOff>
      <xdr:row>14</xdr:row>
      <xdr:rowOff>190500</xdr:rowOff>
    </xdr:from>
    <xdr:to>
      <xdr:col>4</xdr:col>
      <xdr:colOff>1143000</xdr:colOff>
      <xdr:row>14</xdr:row>
      <xdr:rowOff>508000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14500" y="8382000"/>
          <a:ext cx="491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6</xdr:row>
      <xdr:rowOff>171880</xdr:rowOff>
    </xdr:from>
    <xdr:to>
      <xdr:col>2</xdr:col>
      <xdr:colOff>1231900</xdr:colOff>
      <xdr:row>6</xdr:row>
      <xdr:rowOff>486993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100" y="3283380"/>
          <a:ext cx="1219200" cy="3151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6</xdr:row>
      <xdr:rowOff>171880</xdr:rowOff>
    </xdr:from>
    <xdr:to>
      <xdr:col>4</xdr:col>
      <xdr:colOff>1219200</xdr:colOff>
      <xdr:row>6</xdr:row>
      <xdr:rowOff>482600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778000" y="3283380"/>
          <a:ext cx="4927600" cy="31072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7</xdr:col>
      <xdr:colOff>2179324</xdr:colOff>
      <xdr:row>1</xdr:row>
      <xdr:rowOff>629559</xdr:rowOff>
    </xdr:from>
    <xdr:to>
      <xdr:col>8</xdr:col>
      <xdr:colOff>2154378</xdr:colOff>
      <xdr:row>3</xdr:row>
      <xdr:rowOff>593115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A3E12-4681-BA4B-9188-2FC6ACCB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224" y="820059"/>
          <a:ext cx="2451554" cy="1170056"/>
        </a:xfrm>
        <a:prstGeom prst="rect">
          <a:avLst/>
        </a:prstGeom>
      </xdr:spPr>
    </xdr:pic>
    <xdr:clientData/>
  </xdr:twoCellAnchor>
  <xdr:twoCellAnchor>
    <xdr:from>
      <xdr:col>4</xdr:col>
      <xdr:colOff>1143000</xdr:colOff>
      <xdr:row>16</xdr:row>
      <xdr:rowOff>257848</xdr:rowOff>
    </xdr:from>
    <xdr:to>
      <xdr:col>5</xdr:col>
      <xdr:colOff>1054100</xdr:colOff>
      <xdr:row>16</xdr:row>
      <xdr:rowOff>575347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F6185E1-83A4-8F44-9525-B7527A06E01D}"/>
            </a:ext>
          </a:extLst>
        </xdr:cNvPr>
        <xdr:cNvSpPr txBox="1"/>
      </xdr:nvSpPr>
      <xdr:spPr>
        <a:xfrm>
          <a:off x="6629400" y="9719348"/>
          <a:ext cx="23876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1045882</xdr:colOff>
      <xdr:row>16</xdr:row>
      <xdr:rowOff>253999</xdr:rowOff>
    </xdr:from>
    <xdr:to>
      <xdr:col>7</xdr:col>
      <xdr:colOff>1195294</xdr:colOff>
      <xdr:row>16</xdr:row>
      <xdr:rowOff>582707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E852661-5F95-CE49-8754-0DA832838D95}"/>
            </a:ext>
          </a:extLst>
        </xdr:cNvPr>
        <xdr:cNvSpPr txBox="1"/>
      </xdr:nvSpPr>
      <xdr:spPr>
        <a:xfrm>
          <a:off x="9024470" y="9726705"/>
          <a:ext cx="5109883" cy="3287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6</xdr:row>
      <xdr:rowOff>164548</xdr:rowOff>
    </xdr:from>
    <xdr:to>
      <xdr:col>5</xdr:col>
      <xdr:colOff>1219200</xdr:colOff>
      <xdr:row>6</xdr:row>
      <xdr:rowOff>482048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3A0C20-F8C9-A043-8BD5-D7AC7788D432}"/>
            </a:ext>
          </a:extLst>
        </xdr:cNvPr>
        <xdr:cNvSpPr txBox="1"/>
      </xdr:nvSpPr>
      <xdr:spPr>
        <a:xfrm>
          <a:off x="6705600" y="3276048"/>
          <a:ext cx="247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 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6</xdr:row>
      <xdr:rowOff>171880</xdr:rowOff>
    </xdr:from>
    <xdr:to>
      <xdr:col>9</xdr:col>
      <xdr:colOff>12700</xdr:colOff>
      <xdr:row>6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A0A87EB-4E1B-1E44-8152-F3CB4C30698C}"/>
            </a:ext>
          </a:extLst>
        </xdr:cNvPr>
        <xdr:cNvSpPr txBox="1"/>
      </xdr:nvSpPr>
      <xdr:spPr>
        <a:xfrm>
          <a:off x="9182100" y="3283380"/>
          <a:ext cx="8699500" cy="31072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1181100</xdr:colOff>
      <xdr:row>8</xdr:row>
      <xdr:rowOff>190500</xdr:rowOff>
    </xdr:from>
    <xdr:to>
      <xdr:col>7</xdr:col>
      <xdr:colOff>1181100</xdr:colOff>
      <xdr:row>8</xdr:row>
      <xdr:rowOff>508000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6956D58-61CF-C641-83B6-8AB11CB484C2}"/>
            </a:ext>
          </a:extLst>
        </xdr:cNvPr>
        <xdr:cNvSpPr txBox="1"/>
      </xdr:nvSpPr>
      <xdr:spPr>
        <a:xfrm>
          <a:off x="9144000" y="4572000"/>
          <a:ext cx="495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1244600</xdr:colOff>
      <xdr:row>8</xdr:row>
      <xdr:rowOff>189948</xdr:rowOff>
    </xdr:from>
    <xdr:to>
      <xdr:col>5</xdr:col>
      <xdr:colOff>1181100</xdr:colOff>
      <xdr:row>8</xdr:row>
      <xdr:rowOff>507448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95B7BAC-2C48-9E4C-AF5A-39736DD715A0}"/>
            </a:ext>
          </a:extLst>
        </xdr:cNvPr>
        <xdr:cNvSpPr txBox="1"/>
      </xdr:nvSpPr>
      <xdr:spPr>
        <a:xfrm>
          <a:off x="6731000" y="4571448"/>
          <a:ext cx="241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1193800</xdr:colOff>
      <xdr:row>10</xdr:row>
      <xdr:rowOff>197280</xdr:rowOff>
    </xdr:from>
    <xdr:to>
      <xdr:col>4</xdr:col>
      <xdr:colOff>1181100</xdr:colOff>
      <xdr:row>10</xdr:row>
      <xdr:rowOff>508000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B273660-A7F6-1B4B-BACA-C163B6ED2365}"/>
            </a:ext>
          </a:extLst>
        </xdr:cNvPr>
        <xdr:cNvSpPr txBox="1"/>
      </xdr:nvSpPr>
      <xdr:spPr>
        <a:xfrm>
          <a:off x="1727200" y="5848780"/>
          <a:ext cx="4940300" cy="31072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1181100</xdr:colOff>
      <xdr:row>10</xdr:row>
      <xdr:rowOff>191054</xdr:rowOff>
    </xdr:from>
    <xdr:to>
      <xdr:col>5</xdr:col>
      <xdr:colOff>1104900</xdr:colOff>
      <xdr:row>10</xdr:row>
      <xdr:rowOff>508554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5935724-0C3A-F842-99EF-45629FDD1CBB}"/>
            </a:ext>
          </a:extLst>
        </xdr:cNvPr>
        <xdr:cNvSpPr txBox="1"/>
      </xdr:nvSpPr>
      <xdr:spPr>
        <a:xfrm>
          <a:off x="6667500" y="5842554"/>
          <a:ext cx="240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1117600</xdr:colOff>
      <xdr:row>10</xdr:row>
      <xdr:rowOff>190500</xdr:rowOff>
    </xdr:from>
    <xdr:to>
      <xdr:col>9</xdr:col>
      <xdr:colOff>12701</xdr:colOff>
      <xdr:row>10</xdr:row>
      <xdr:rowOff>508000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246D3DE-AACE-2848-BDD2-73303649B280}"/>
            </a:ext>
          </a:extLst>
        </xdr:cNvPr>
        <xdr:cNvSpPr txBox="1"/>
      </xdr:nvSpPr>
      <xdr:spPr>
        <a:xfrm>
          <a:off x="9080500" y="5842000"/>
          <a:ext cx="88011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12</xdr:row>
      <xdr:rowOff>164548</xdr:rowOff>
    </xdr:from>
    <xdr:to>
      <xdr:col>4</xdr:col>
      <xdr:colOff>1193800</xdr:colOff>
      <xdr:row>12</xdr:row>
      <xdr:rowOff>482048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706712A-6E82-514D-B88F-FA22709F08DE}"/>
            </a:ext>
          </a:extLst>
        </xdr:cNvPr>
        <xdr:cNvSpPr txBox="1"/>
      </xdr:nvSpPr>
      <xdr:spPr>
        <a:xfrm>
          <a:off x="546100" y="7086048"/>
          <a:ext cx="613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164548</xdr:rowOff>
    </xdr:from>
    <xdr:to>
      <xdr:col>9</xdr:col>
      <xdr:colOff>12700</xdr:colOff>
      <xdr:row>12</xdr:row>
      <xdr:rowOff>482048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F842368-F06D-2B46-9F1C-C18CDB5C65F6}"/>
            </a:ext>
          </a:extLst>
        </xdr:cNvPr>
        <xdr:cNvSpPr txBox="1"/>
      </xdr:nvSpPr>
      <xdr:spPr>
        <a:xfrm>
          <a:off x="14122400" y="7086048"/>
          <a:ext cx="375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 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14</xdr:row>
      <xdr:rowOff>189949</xdr:rowOff>
    </xdr:from>
    <xdr:to>
      <xdr:col>5</xdr:col>
      <xdr:colOff>1168400</xdr:colOff>
      <xdr:row>14</xdr:row>
      <xdr:rowOff>507448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6561A144-F701-4840-9592-51852680C7E3}"/>
            </a:ext>
          </a:extLst>
        </xdr:cNvPr>
        <xdr:cNvSpPr txBox="1"/>
      </xdr:nvSpPr>
      <xdr:spPr>
        <a:xfrm>
          <a:off x="6642100" y="8381449"/>
          <a:ext cx="2489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1168400</xdr:colOff>
      <xdr:row>14</xdr:row>
      <xdr:rowOff>189948</xdr:rowOff>
    </xdr:from>
    <xdr:to>
      <xdr:col>9</xdr:col>
      <xdr:colOff>0</xdr:colOff>
      <xdr:row>14</xdr:row>
      <xdr:rowOff>507448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8273E9C-94D7-094D-8421-5D25C1AAD200}"/>
            </a:ext>
          </a:extLst>
        </xdr:cNvPr>
        <xdr:cNvSpPr txBox="1"/>
      </xdr:nvSpPr>
      <xdr:spPr>
        <a:xfrm>
          <a:off x="9131300" y="8381448"/>
          <a:ext cx="873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1195294</xdr:colOff>
      <xdr:row>16</xdr:row>
      <xdr:rowOff>253449</xdr:rowOff>
    </xdr:from>
    <xdr:to>
      <xdr:col>8</xdr:col>
      <xdr:colOff>2451101</xdr:colOff>
      <xdr:row>16</xdr:row>
      <xdr:rowOff>582706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B5C18CE-6D3F-3542-BA95-5AEAA4E709DF}"/>
            </a:ext>
          </a:extLst>
        </xdr:cNvPr>
        <xdr:cNvSpPr txBox="1"/>
      </xdr:nvSpPr>
      <xdr:spPr>
        <a:xfrm>
          <a:off x="14134353" y="9726155"/>
          <a:ext cx="3736042" cy="3292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12699</xdr:colOff>
      <xdr:row>16</xdr:row>
      <xdr:rowOff>266700</xdr:rowOff>
    </xdr:from>
    <xdr:to>
      <xdr:col>4</xdr:col>
      <xdr:colOff>1143000</xdr:colOff>
      <xdr:row>16</xdr:row>
      <xdr:rowOff>584200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AF76655-10C7-6440-82E6-E56424E1F2F5}"/>
            </a:ext>
          </a:extLst>
        </xdr:cNvPr>
        <xdr:cNvSpPr txBox="1"/>
      </xdr:nvSpPr>
      <xdr:spPr>
        <a:xfrm>
          <a:off x="546099" y="9728200"/>
          <a:ext cx="60833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1181100</xdr:colOff>
      <xdr:row>8</xdr:row>
      <xdr:rowOff>189948</xdr:rowOff>
    </xdr:from>
    <xdr:to>
      <xdr:col>9</xdr:col>
      <xdr:colOff>0</xdr:colOff>
      <xdr:row>8</xdr:row>
      <xdr:rowOff>507448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E4BF7CE-39E6-DC4E-9C31-C44DAF864B12}"/>
            </a:ext>
          </a:extLst>
        </xdr:cNvPr>
        <xdr:cNvSpPr txBox="1"/>
      </xdr:nvSpPr>
      <xdr:spPr>
        <a:xfrm>
          <a:off x="14097000" y="4571448"/>
          <a:ext cx="377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1214782</xdr:colOff>
      <xdr:row>8</xdr:row>
      <xdr:rowOff>219212</xdr:rowOff>
    </xdr:from>
    <xdr:to>
      <xdr:col>5</xdr:col>
      <xdr:colOff>1131957</xdr:colOff>
      <xdr:row>8</xdr:row>
      <xdr:rowOff>565979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681304" y="4595190"/>
          <a:ext cx="2388153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27609</xdr:colOff>
      <xdr:row>12</xdr:row>
      <xdr:rowOff>221974</xdr:rowOff>
    </xdr:from>
    <xdr:to>
      <xdr:col>4</xdr:col>
      <xdr:colOff>1173370</xdr:colOff>
      <xdr:row>12</xdr:row>
      <xdr:rowOff>567082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52174" y="7137952"/>
          <a:ext cx="6087718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13806</xdr:colOff>
      <xdr:row>10</xdr:row>
      <xdr:rowOff>302591</xdr:rowOff>
    </xdr:from>
    <xdr:to>
      <xdr:col>2</xdr:col>
      <xdr:colOff>1297609</xdr:colOff>
      <xdr:row>10</xdr:row>
      <xdr:rowOff>649358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8371" y="5948569"/>
          <a:ext cx="1283803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1311965</xdr:colOff>
      <xdr:row>10</xdr:row>
      <xdr:rowOff>302592</xdr:rowOff>
    </xdr:from>
    <xdr:to>
      <xdr:col>4</xdr:col>
      <xdr:colOff>1131956</xdr:colOff>
      <xdr:row>10</xdr:row>
      <xdr:rowOff>649358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36530" y="5948570"/>
          <a:ext cx="4761948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1283805</xdr:colOff>
      <xdr:row>14</xdr:row>
      <xdr:rowOff>248479</xdr:rowOff>
    </xdr:from>
    <xdr:to>
      <xdr:col>4</xdr:col>
      <xdr:colOff>1159565</xdr:colOff>
      <xdr:row>14</xdr:row>
      <xdr:rowOff>595245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808370" y="8434457"/>
          <a:ext cx="4817717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13805</xdr:colOff>
      <xdr:row>14</xdr:row>
      <xdr:rowOff>249581</xdr:rowOff>
    </xdr:from>
    <xdr:to>
      <xdr:col>2</xdr:col>
      <xdr:colOff>1283805</xdr:colOff>
      <xdr:row>14</xdr:row>
      <xdr:rowOff>594138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38370" y="8435559"/>
          <a:ext cx="1270000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6</xdr:row>
      <xdr:rowOff>234674</xdr:rowOff>
    </xdr:from>
    <xdr:to>
      <xdr:col>2</xdr:col>
      <xdr:colOff>1242393</xdr:colOff>
      <xdr:row>6</xdr:row>
      <xdr:rowOff>579231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4566" y="3340652"/>
          <a:ext cx="1242392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2191955</xdr:colOff>
      <xdr:row>1</xdr:row>
      <xdr:rowOff>630686</xdr:rowOff>
    </xdr:from>
    <xdr:to>
      <xdr:col>8</xdr:col>
      <xdr:colOff>2172531</xdr:colOff>
      <xdr:row>3</xdr:row>
      <xdr:rowOff>599764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A9E47-F9BB-6C45-A895-A048F7FE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71412" y="823947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1242392</xdr:colOff>
      <xdr:row>6</xdr:row>
      <xdr:rowOff>233569</xdr:rowOff>
    </xdr:from>
    <xdr:to>
      <xdr:col>4</xdr:col>
      <xdr:colOff>1270000</xdr:colOff>
      <xdr:row>6</xdr:row>
      <xdr:rowOff>580335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010B83-B09C-DB48-9DB1-C515F3C022DD}"/>
            </a:ext>
          </a:extLst>
        </xdr:cNvPr>
        <xdr:cNvSpPr txBox="1"/>
      </xdr:nvSpPr>
      <xdr:spPr>
        <a:xfrm>
          <a:off x="1766957" y="3339547"/>
          <a:ext cx="4969565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</xdr:colOff>
      <xdr:row>8</xdr:row>
      <xdr:rowOff>219213</xdr:rowOff>
    </xdr:from>
    <xdr:to>
      <xdr:col>4</xdr:col>
      <xdr:colOff>1200978</xdr:colOff>
      <xdr:row>8</xdr:row>
      <xdr:rowOff>565979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B59930-9F22-C14F-85BA-9805EA2D0D3A}"/>
            </a:ext>
          </a:extLst>
        </xdr:cNvPr>
        <xdr:cNvSpPr txBox="1"/>
      </xdr:nvSpPr>
      <xdr:spPr>
        <a:xfrm>
          <a:off x="524566" y="4595191"/>
          <a:ext cx="6142934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1145761</xdr:colOff>
      <xdr:row>16</xdr:row>
      <xdr:rowOff>291546</xdr:rowOff>
    </xdr:from>
    <xdr:to>
      <xdr:col>5</xdr:col>
      <xdr:colOff>1159564</xdr:colOff>
      <xdr:row>16</xdr:row>
      <xdr:rowOff>636103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8CA94E0-B372-D24A-B5A5-AA9460D1939D}"/>
            </a:ext>
          </a:extLst>
        </xdr:cNvPr>
        <xdr:cNvSpPr txBox="1"/>
      </xdr:nvSpPr>
      <xdr:spPr>
        <a:xfrm>
          <a:off x="6612283" y="9747524"/>
          <a:ext cx="2484781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1159565</xdr:colOff>
      <xdr:row>16</xdr:row>
      <xdr:rowOff>292102</xdr:rowOff>
    </xdr:from>
    <xdr:to>
      <xdr:col>7</xdr:col>
      <xdr:colOff>1256195</xdr:colOff>
      <xdr:row>16</xdr:row>
      <xdr:rowOff>637210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C042C05-5BDC-8A45-AD01-C2709C5F0CC7}"/>
            </a:ext>
          </a:extLst>
        </xdr:cNvPr>
        <xdr:cNvSpPr txBox="1"/>
      </xdr:nvSpPr>
      <xdr:spPr>
        <a:xfrm>
          <a:off x="9097065" y="9748080"/>
          <a:ext cx="5038587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1173370</xdr:colOff>
      <xdr:row>6</xdr:row>
      <xdr:rowOff>233569</xdr:rowOff>
    </xdr:from>
    <xdr:to>
      <xdr:col>8</xdr:col>
      <xdr:colOff>2457174</xdr:colOff>
      <xdr:row>6</xdr:row>
      <xdr:rowOff>580335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6B46AC-CB95-5746-BAD4-5EE0D96CDF69}"/>
            </a:ext>
          </a:extLst>
        </xdr:cNvPr>
        <xdr:cNvSpPr txBox="1"/>
      </xdr:nvSpPr>
      <xdr:spPr>
        <a:xfrm>
          <a:off x="9110870" y="3339547"/>
          <a:ext cx="8696739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1283804</xdr:colOff>
      <xdr:row>6</xdr:row>
      <xdr:rowOff>235227</xdr:rowOff>
    </xdr:from>
    <xdr:to>
      <xdr:col>5</xdr:col>
      <xdr:colOff>1173370</xdr:colOff>
      <xdr:row>6</xdr:row>
      <xdr:rowOff>579784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6A5CAA8-2FE7-464F-8D4B-04FE045BB6F2}"/>
            </a:ext>
          </a:extLst>
        </xdr:cNvPr>
        <xdr:cNvSpPr txBox="1"/>
      </xdr:nvSpPr>
      <xdr:spPr>
        <a:xfrm>
          <a:off x="6750326" y="3341205"/>
          <a:ext cx="2360544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1228586</xdr:colOff>
      <xdr:row>8</xdr:row>
      <xdr:rowOff>219764</xdr:rowOff>
    </xdr:from>
    <xdr:to>
      <xdr:col>9</xdr:col>
      <xdr:colOff>0</xdr:colOff>
      <xdr:row>8</xdr:row>
      <xdr:rowOff>566531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3EC372A-A378-A643-9E65-52E97659B5A2}"/>
            </a:ext>
          </a:extLst>
        </xdr:cNvPr>
        <xdr:cNvSpPr txBox="1"/>
      </xdr:nvSpPr>
      <xdr:spPr>
        <a:xfrm>
          <a:off x="14108043" y="4595742"/>
          <a:ext cx="3713370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5</xdr:col>
      <xdr:colOff>1131957</xdr:colOff>
      <xdr:row>8</xdr:row>
      <xdr:rowOff>220317</xdr:rowOff>
    </xdr:from>
    <xdr:to>
      <xdr:col>7</xdr:col>
      <xdr:colOff>1228586</xdr:colOff>
      <xdr:row>8</xdr:row>
      <xdr:rowOff>567083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F0E8A4-48C5-9442-9174-47AC0B3C6336}"/>
            </a:ext>
          </a:extLst>
        </xdr:cNvPr>
        <xdr:cNvSpPr txBox="1"/>
      </xdr:nvSpPr>
      <xdr:spPr>
        <a:xfrm>
          <a:off x="9069457" y="4596295"/>
          <a:ext cx="5038586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1187725</xdr:colOff>
      <xdr:row>10</xdr:row>
      <xdr:rowOff>306459</xdr:rowOff>
    </xdr:from>
    <xdr:to>
      <xdr:col>8</xdr:col>
      <xdr:colOff>2457173</xdr:colOff>
      <xdr:row>10</xdr:row>
      <xdr:rowOff>651567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6524009-9A70-774A-B69C-ABCB0D02B496}"/>
            </a:ext>
          </a:extLst>
        </xdr:cNvPr>
        <xdr:cNvSpPr txBox="1"/>
      </xdr:nvSpPr>
      <xdr:spPr>
        <a:xfrm>
          <a:off x="9125225" y="5952437"/>
          <a:ext cx="8682383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1173922</xdr:colOff>
      <xdr:row>12</xdr:row>
      <xdr:rowOff>220317</xdr:rowOff>
    </xdr:from>
    <xdr:to>
      <xdr:col>5</xdr:col>
      <xdr:colOff>1159566</xdr:colOff>
      <xdr:row>12</xdr:row>
      <xdr:rowOff>567084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B8543F8-C663-B346-9D90-F49F822D72FA}"/>
            </a:ext>
          </a:extLst>
        </xdr:cNvPr>
        <xdr:cNvSpPr txBox="1"/>
      </xdr:nvSpPr>
      <xdr:spPr>
        <a:xfrm>
          <a:off x="6640444" y="7136295"/>
          <a:ext cx="2456622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5</xdr:col>
      <xdr:colOff>1159565</xdr:colOff>
      <xdr:row>12</xdr:row>
      <xdr:rowOff>224185</xdr:rowOff>
    </xdr:from>
    <xdr:to>
      <xdr:col>7</xdr:col>
      <xdr:colOff>1242391</xdr:colOff>
      <xdr:row>12</xdr:row>
      <xdr:rowOff>569293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70D0C8B-135C-9A47-805A-5D014BC7189C}"/>
            </a:ext>
          </a:extLst>
        </xdr:cNvPr>
        <xdr:cNvSpPr txBox="1"/>
      </xdr:nvSpPr>
      <xdr:spPr>
        <a:xfrm>
          <a:off x="9097065" y="7140163"/>
          <a:ext cx="5024783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1242391</xdr:colOff>
      <xdr:row>12</xdr:row>
      <xdr:rowOff>221971</xdr:rowOff>
    </xdr:from>
    <xdr:to>
      <xdr:col>9</xdr:col>
      <xdr:colOff>13804</xdr:colOff>
      <xdr:row>12</xdr:row>
      <xdr:rowOff>566528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96BF41F-4EC0-3E42-9A1E-0DA88BCCFA73}"/>
            </a:ext>
          </a:extLst>
        </xdr:cNvPr>
        <xdr:cNvSpPr txBox="1"/>
      </xdr:nvSpPr>
      <xdr:spPr>
        <a:xfrm>
          <a:off x="14121848" y="7137949"/>
          <a:ext cx="3713369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1173370</xdr:colOff>
      <xdr:row>14</xdr:row>
      <xdr:rowOff>248478</xdr:rowOff>
    </xdr:from>
    <xdr:to>
      <xdr:col>5</xdr:col>
      <xdr:colOff>1145762</xdr:colOff>
      <xdr:row>14</xdr:row>
      <xdr:rowOff>595245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6E4C2CE-0802-DD42-BF8E-227E94CAC4FE}"/>
            </a:ext>
          </a:extLst>
        </xdr:cNvPr>
        <xdr:cNvSpPr txBox="1"/>
      </xdr:nvSpPr>
      <xdr:spPr>
        <a:xfrm>
          <a:off x="6639892" y="8434456"/>
          <a:ext cx="2443370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7</xdr:col>
      <xdr:colOff>1160117</xdr:colOff>
      <xdr:row>14</xdr:row>
      <xdr:rowOff>247925</xdr:rowOff>
    </xdr:from>
    <xdr:to>
      <xdr:col>9</xdr:col>
      <xdr:colOff>0</xdr:colOff>
      <xdr:row>14</xdr:row>
      <xdr:rowOff>594691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CC15ABD-9726-4E48-B0D1-5F84E3014A7A}"/>
            </a:ext>
          </a:extLst>
        </xdr:cNvPr>
        <xdr:cNvSpPr txBox="1"/>
      </xdr:nvSpPr>
      <xdr:spPr>
        <a:xfrm>
          <a:off x="14039574" y="8433903"/>
          <a:ext cx="3781839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1145762</xdr:colOff>
      <xdr:row>14</xdr:row>
      <xdr:rowOff>247925</xdr:rowOff>
    </xdr:from>
    <xdr:to>
      <xdr:col>9</xdr:col>
      <xdr:colOff>1</xdr:colOff>
      <xdr:row>14</xdr:row>
      <xdr:rowOff>594691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28B614C-79F0-5C4D-89BE-69846966F467}"/>
            </a:ext>
          </a:extLst>
        </xdr:cNvPr>
        <xdr:cNvSpPr txBox="1"/>
      </xdr:nvSpPr>
      <xdr:spPr>
        <a:xfrm>
          <a:off x="9083262" y="8433903"/>
          <a:ext cx="8738152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1256195</xdr:colOff>
      <xdr:row>16</xdr:row>
      <xdr:rowOff>290443</xdr:rowOff>
    </xdr:from>
    <xdr:to>
      <xdr:col>9</xdr:col>
      <xdr:colOff>13804</xdr:colOff>
      <xdr:row>16</xdr:row>
      <xdr:rowOff>637210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698B686-70EC-D04C-B9B7-C5246B2E256B}"/>
            </a:ext>
          </a:extLst>
        </xdr:cNvPr>
        <xdr:cNvSpPr txBox="1"/>
      </xdr:nvSpPr>
      <xdr:spPr>
        <a:xfrm>
          <a:off x="14135652" y="9746421"/>
          <a:ext cx="3699565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41966</xdr:colOff>
      <xdr:row>16</xdr:row>
      <xdr:rowOff>288787</xdr:rowOff>
    </xdr:from>
    <xdr:to>
      <xdr:col>4</xdr:col>
      <xdr:colOff>1145761</xdr:colOff>
      <xdr:row>16</xdr:row>
      <xdr:rowOff>635553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8049DA-38A6-D140-A45A-4C72FD7DCC35}"/>
            </a:ext>
          </a:extLst>
        </xdr:cNvPr>
        <xdr:cNvSpPr txBox="1"/>
      </xdr:nvSpPr>
      <xdr:spPr>
        <a:xfrm>
          <a:off x="566531" y="9744765"/>
          <a:ext cx="6045752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1146313</xdr:colOff>
      <xdr:row>10</xdr:row>
      <xdr:rowOff>302590</xdr:rowOff>
    </xdr:from>
    <xdr:to>
      <xdr:col>5</xdr:col>
      <xdr:colOff>1187174</xdr:colOff>
      <xdr:row>10</xdr:row>
      <xdr:rowOff>649357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5B53CBE-AE4C-6747-B5B5-AA7597C9F421}"/>
            </a:ext>
          </a:extLst>
        </xdr:cNvPr>
        <xdr:cNvSpPr txBox="1"/>
      </xdr:nvSpPr>
      <xdr:spPr>
        <a:xfrm>
          <a:off x="6612835" y="5948568"/>
          <a:ext cx="2511839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6</xdr:row>
      <xdr:rowOff>177800</xdr:rowOff>
    </xdr:from>
    <xdr:to>
      <xdr:col>2</xdr:col>
      <xdr:colOff>1244600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33400" y="3289300"/>
          <a:ext cx="124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8</xdr:row>
      <xdr:rowOff>190500</xdr:rowOff>
    </xdr:from>
    <xdr:to>
      <xdr:col>5</xdr:col>
      <xdr:colOff>1257300</xdr:colOff>
      <xdr:row>8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6680200" y="4572000"/>
          <a:ext cx="254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177800</xdr:rowOff>
    </xdr:from>
    <xdr:to>
      <xdr:col>4</xdr:col>
      <xdr:colOff>1181101</xdr:colOff>
      <xdr:row>12</xdr:row>
      <xdr:rowOff>495300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3400" y="7099300"/>
          <a:ext cx="61341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1117600</xdr:colOff>
      <xdr:row>14</xdr:row>
      <xdr:rowOff>495300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46100" y="8369300"/>
          <a:ext cx="110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C66-A62D-FA48-8003-202A095C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5</xdr:col>
      <xdr:colOff>1270000</xdr:colOff>
      <xdr:row>8</xdr:row>
      <xdr:rowOff>190500</xdr:rowOff>
    </xdr:from>
    <xdr:to>
      <xdr:col>7</xdr:col>
      <xdr:colOff>1219199</xdr:colOff>
      <xdr:row>8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85E1495-6AC8-E24E-8FFD-7451B4BD29CA}"/>
            </a:ext>
          </a:extLst>
        </xdr:cNvPr>
        <xdr:cNvSpPr txBox="1"/>
      </xdr:nvSpPr>
      <xdr:spPr>
        <a:xfrm>
          <a:off x="9232900" y="4572000"/>
          <a:ext cx="49021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6</xdr:row>
      <xdr:rowOff>177800</xdr:rowOff>
    </xdr:from>
    <xdr:to>
      <xdr:col>4</xdr:col>
      <xdr:colOff>1219200</xdr:colOff>
      <xdr:row>6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212A38-8205-C94D-9620-3749736229A3}"/>
            </a:ext>
          </a:extLst>
        </xdr:cNvPr>
        <xdr:cNvSpPr txBox="1"/>
      </xdr:nvSpPr>
      <xdr:spPr>
        <a:xfrm>
          <a:off x="1778000" y="32893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1219200</xdr:colOff>
      <xdr:row>10</xdr:row>
      <xdr:rowOff>177800</xdr:rowOff>
    </xdr:from>
    <xdr:to>
      <xdr:col>4</xdr:col>
      <xdr:colOff>1168400</xdr:colOff>
      <xdr:row>10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D85DF7-C1F2-6C4C-8E09-62C226EF6EDF}"/>
            </a:ext>
          </a:extLst>
        </xdr:cNvPr>
        <xdr:cNvSpPr txBox="1"/>
      </xdr:nvSpPr>
      <xdr:spPr>
        <a:xfrm>
          <a:off x="1752600" y="5829300"/>
          <a:ext cx="490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1117600</xdr:colOff>
      <xdr:row>14</xdr:row>
      <xdr:rowOff>177800</xdr:rowOff>
    </xdr:from>
    <xdr:to>
      <xdr:col>4</xdr:col>
      <xdr:colOff>1181100</xdr:colOff>
      <xdr:row>14</xdr:row>
      <xdr:rowOff>495299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337ECAC-B96B-494A-9303-DF4BEEA66E1E}"/>
            </a:ext>
          </a:extLst>
        </xdr:cNvPr>
        <xdr:cNvSpPr txBox="1"/>
      </xdr:nvSpPr>
      <xdr:spPr>
        <a:xfrm>
          <a:off x="1651000" y="8369300"/>
          <a:ext cx="5016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1193800</xdr:colOff>
      <xdr:row>16</xdr:row>
      <xdr:rowOff>190500</xdr:rowOff>
    </xdr:from>
    <xdr:to>
      <xdr:col>7</xdr:col>
      <xdr:colOff>1181100</xdr:colOff>
      <xdr:row>16</xdr:row>
      <xdr:rowOff>508000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C26E37-DBB5-6B45-85A8-2F9722920D15}"/>
            </a:ext>
          </a:extLst>
        </xdr:cNvPr>
        <xdr:cNvSpPr txBox="1"/>
      </xdr:nvSpPr>
      <xdr:spPr>
        <a:xfrm>
          <a:off x="9156700" y="96520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16</xdr:row>
      <xdr:rowOff>190500</xdr:rowOff>
    </xdr:from>
    <xdr:to>
      <xdr:col>5</xdr:col>
      <xdr:colOff>1181100</xdr:colOff>
      <xdr:row>16</xdr:row>
      <xdr:rowOff>508000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8B9E840-7788-B048-B35E-7A9F886A3A0B}"/>
            </a:ext>
          </a:extLst>
        </xdr:cNvPr>
        <xdr:cNvSpPr txBox="1"/>
      </xdr:nvSpPr>
      <xdr:spPr>
        <a:xfrm>
          <a:off x="6654800" y="9652000"/>
          <a:ext cx="248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6</xdr:row>
      <xdr:rowOff>177800</xdr:rowOff>
    </xdr:from>
    <xdr:to>
      <xdr:col>5</xdr:col>
      <xdr:colOff>1219200</xdr:colOff>
      <xdr:row>6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540B5C-86B7-7248-9CE3-4E8849D5FD92}"/>
            </a:ext>
          </a:extLst>
        </xdr:cNvPr>
        <xdr:cNvSpPr txBox="1"/>
      </xdr:nvSpPr>
      <xdr:spPr>
        <a:xfrm>
          <a:off x="6705600" y="3289300"/>
          <a:ext cx="247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6</xdr:row>
      <xdr:rowOff>177800</xdr:rowOff>
    </xdr:from>
    <xdr:to>
      <xdr:col>9</xdr:col>
      <xdr:colOff>1</xdr:colOff>
      <xdr:row>6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5597BD-EBEA-F240-A68F-2CA330AEDC6F}"/>
            </a:ext>
          </a:extLst>
        </xdr:cNvPr>
        <xdr:cNvSpPr txBox="1"/>
      </xdr:nvSpPr>
      <xdr:spPr>
        <a:xfrm>
          <a:off x="9169400" y="3289300"/>
          <a:ext cx="8699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190500</xdr:rowOff>
    </xdr:from>
    <xdr:to>
      <xdr:col>4</xdr:col>
      <xdr:colOff>1193800</xdr:colOff>
      <xdr:row>8</xdr:row>
      <xdr:rowOff>508000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8FE1609-424B-DE42-AE0E-30ABF5D5F436}"/>
            </a:ext>
          </a:extLst>
        </xdr:cNvPr>
        <xdr:cNvSpPr txBox="1"/>
      </xdr:nvSpPr>
      <xdr:spPr>
        <a:xfrm>
          <a:off x="558800" y="4572000"/>
          <a:ext cx="612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8</xdr:row>
      <xdr:rowOff>190500</xdr:rowOff>
    </xdr:from>
    <xdr:to>
      <xdr:col>9</xdr:col>
      <xdr:colOff>0</xdr:colOff>
      <xdr:row>8</xdr:row>
      <xdr:rowOff>508000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F94160D-73A2-7445-99E8-476CD9ABFBAB}"/>
            </a:ext>
          </a:extLst>
        </xdr:cNvPr>
        <xdr:cNvSpPr txBox="1"/>
      </xdr:nvSpPr>
      <xdr:spPr>
        <a:xfrm>
          <a:off x="14147800" y="4572000"/>
          <a:ext cx="372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1181100</xdr:colOff>
      <xdr:row>10</xdr:row>
      <xdr:rowOff>177800</xdr:rowOff>
    </xdr:from>
    <xdr:to>
      <xdr:col>8</xdr:col>
      <xdr:colOff>2476499</xdr:colOff>
      <xdr:row>10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E530027-4C13-B04C-87FC-5E8F3B84C54A}"/>
            </a:ext>
          </a:extLst>
        </xdr:cNvPr>
        <xdr:cNvSpPr txBox="1"/>
      </xdr:nvSpPr>
      <xdr:spPr>
        <a:xfrm>
          <a:off x="9144000" y="5829300"/>
          <a:ext cx="87248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12</xdr:row>
      <xdr:rowOff>177800</xdr:rowOff>
    </xdr:from>
    <xdr:to>
      <xdr:col>5</xdr:col>
      <xdr:colOff>1206500</xdr:colOff>
      <xdr:row>12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F5586B7-8395-A849-AD30-904C6EABA536}"/>
            </a:ext>
          </a:extLst>
        </xdr:cNvPr>
        <xdr:cNvSpPr txBox="1"/>
      </xdr:nvSpPr>
      <xdr:spPr>
        <a:xfrm>
          <a:off x="6680200" y="7099300"/>
          <a:ext cx="248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1219201</xdr:colOff>
      <xdr:row>12</xdr:row>
      <xdr:rowOff>177800</xdr:rowOff>
    </xdr:from>
    <xdr:to>
      <xdr:col>7</xdr:col>
      <xdr:colOff>1295401</xdr:colOff>
      <xdr:row>12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75FDB64-DAEB-134F-A443-6D8ED87D3C3F}"/>
            </a:ext>
          </a:extLst>
        </xdr:cNvPr>
        <xdr:cNvSpPr txBox="1"/>
      </xdr:nvSpPr>
      <xdr:spPr>
        <a:xfrm>
          <a:off x="9182101" y="7099300"/>
          <a:ext cx="502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1308100</xdr:colOff>
      <xdr:row>12</xdr:row>
      <xdr:rowOff>177800</xdr:rowOff>
    </xdr:from>
    <xdr:to>
      <xdr:col>9</xdr:col>
      <xdr:colOff>0</xdr:colOff>
      <xdr:row>12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55F8099-284F-7D4C-8CF6-7566086D45D3}"/>
            </a:ext>
          </a:extLst>
        </xdr:cNvPr>
        <xdr:cNvSpPr txBox="1"/>
      </xdr:nvSpPr>
      <xdr:spPr>
        <a:xfrm>
          <a:off x="14224000" y="7099300"/>
          <a:ext cx="364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14</xdr:row>
      <xdr:rowOff>177800</xdr:rowOff>
    </xdr:from>
    <xdr:to>
      <xdr:col>5</xdr:col>
      <xdr:colOff>1206500</xdr:colOff>
      <xdr:row>14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E427CE-3C90-8E41-8DB0-0B974CD056C8}"/>
            </a:ext>
          </a:extLst>
        </xdr:cNvPr>
        <xdr:cNvSpPr txBox="1"/>
      </xdr:nvSpPr>
      <xdr:spPr>
        <a:xfrm>
          <a:off x="6680200" y="8369300"/>
          <a:ext cx="248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1219201</xdr:colOff>
      <xdr:row>14</xdr:row>
      <xdr:rowOff>177800</xdr:rowOff>
    </xdr:from>
    <xdr:to>
      <xdr:col>9</xdr:col>
      <xdr:colOff>12701</xdr:colOff>
      <xdr:row>14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CB3A2B4-CA4E-8B48-AE1D-F0A9B34DB191}"/>
            </a:ext>
          </a:extLst>
        </xdr:cNvPr>
        <xdr:cNvSpPr txBox="1"/>
      </xdr:nvSpPr>
      <xdr:spPr>
        <a:xfrm>
          <a:off x="9182101" y="8369300"/>
          <a:ext cx="869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16</xdr:row>
      <xdr:rowOff>190500</xdr:rowOff>
    </xdr:from>
    <xdr:to>
      <xdr:col>9</xdr:col>
      <xdr:colOff>12700</xdr:colOff>
      <xdr:row>16</xdr:row>
      <xdr:rowOff>508000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A720EA6C-354C-DF49-BB32-2CD69B7750CE}"/>
            </a:ext>
          </a:extLst>
        </xdr:cNvPr>
        <xdr:cNvSpPr txBox="1"/>
      </xdr:nvSpPr>
      <xdr:spPr>
        <a:xfrm>
          <a:off x="14109700" y="9652000"/>
          <a:ext cx="377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190500</xdr:rowOff>
    </xdr:from>
    <xdr:to>
      <xdr:col>4</xdr:col>
      <xdr:colOff>1155700</xdr:colOff>
      <xdr:row>16</xdr:row>
      <xdr:rowOff>508000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9EA470A-2815-BA46-B645-8D3B3C4F3602}"/>
            </a:ext>
          </a:extLst>
        </xdr:cNvPr>
        <xdr:cNvSpPr txBox="1"/>
      </xdr:nvSpPr>
      <xdr:spPr>
        <a:xfrm>
          <a:off x="558800" y="9652000"/>
          <a:ext cx="608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10</xdr:row>
      <xdr:rowOff>177800</xdr:rowOff>
    </xdr:from>
    <xdr:to>
      <xdr:col>5</xdr:col>
      <xdr:colOff>1244600</xdr:colOff>
      <xdr:row>10</xdr:row>
      <xdr:rowOff>495300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2AE878F-D9CC-3347-AD53-64DE7B480DD3}"/>
            </a:ext>
          </a:extLst>
        </xdr:cNvPr>
        <xdr:cNvSpPr txBox="1"/>
      </xdr:nvSpPr>
      <xdr:spPr>
        <a:xfrm>
          <a:off x="6667500" y="5829300"/>
          <a:ext cx="254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2</xdr:col>
      <xdr:colOff>1219200</xdr:colOff>
      <xdr:row>10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5402E76-DDA0-BE44-8CC1-64E28C3AE476}"/>
            </a:ext>
          </a:extLst>
        </xdr:cNvPr>
        <xdr:cNvSpPr txBox="1"/>
      </xdr:nvSpPr>
      <xdr:spPr>
        <a:xfrm>
          <a:off x="546100" y="5829300"/>
          <a:ext cx="120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6</xdr:row>
      <xdr:rowOff>241300</xdr:rowOff>
    </xdr:from>
    <xdr:to>
      <xdr:col>4</xdr:col>
      <xdr:colOff>1219200</xdr:colOff>
      <xdr:row>6</xdr:row>
      <xdr:rowOff>558800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533400" y="3352800"/>
          <a:ext cx="617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8</xdr:row>
      <xdr:rowOff>190500</xdr:rowOff>
    </xdr:from>
    <xdr:to>
      <xdr:col>5</xdr:col>
      <xdr:colOff>1244600</xdr:colOff>
      <xdr:row>8</xdr:row>
      <xdr:rowOff>508000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6667500" y="4572000"/>
          <a:ext cx="254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1193800</xdr:colOff>
      <xdr:row>8</xdr:row>
      <xdr:rowOff>190500</xdr:rowOff>
    </xdr:from>
    <xdr:to>
      <xdr:col>4</xdr:col>
      <xdr:colOff>1168400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727200" y="45720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1117600</xdr:colOff>
      <xdr:row>12</xdr:row>
      <xdr:rowOff>215900</xdr:rowOff>
    </xdr:from>
    <xdr:to>
      <xdr:col>4</xdr:col>
      <xdr:colOff>1231900</xdr:colOff>
      <xdr:row>12</xdr:row>
      <xdr:rowOff>533399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651000" y="7137400"/>
          <a:ext cx="506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1117600</xdr:colOff>
      <xdr:row>16</xdr:row>
      <xdr:rowOff>241300</xdr:rowOff>
    </xdr:from>
    <xdr:to>
      <xdr:col>4</xdr:col>
      <xdr:colOff>1206500</xdr:colOff>
      <xdr:row>16</xdr:row>
      <xdr:rowOff>558799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651000" y="9702800"/>
          <a:ext cx="5041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10</xdr:row>
      <xdr:rowOff>203200</xdr:rowOff>
    </xdr:from>
    <xdr:to>
      <xdr:col>5</xdr:col>
      <xdr:colOff>1295400</xdr:colOff>
      <xdr:row>10</xdr:row>
      <xdr:rowOff>520700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6705600" y="5854700"/>
          <a:ext cx="255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12</xdr:row>
      <xdr:rowOff>215900</xdr:rowOff>
    </xdr:from>
    <xdr:to>
      <xdr:col>5</xdr:col>
      <xdr:colOff>1282700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6731000" y="7137400"/>
          <a:ext cx="251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14</xdr:row>
      <xdr:rowOff>228600</xdr:rowOff>
    </xdr:from>
    <xdr:to>
      <xdr:col>5</xdr:col>
      <xdr:colOff>1270000</xdr:colOff>
      <xdr:row>14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6667500" y="8420100"/>
          <a:ext cx="2565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203201</xdr:rowOff>
    </xdr:from>
    <xdr:to>
      <xdr:col>4</xdr:col>
      <xdr:colOff>1219200</xdr:colOff>
      <xdr:row>10</xdr:row>
      <xdr:rowOff>520701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33400" y="5854701"/>
          <a:ext cx="617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14</xdr:row>
      <xdr:rowOff>228601</xdr:rowOff>
    </xdr:from>
    <xdr:to>
      <xdr:col>7</xdr:col>
      <xdr:colOff>1295400</xdr:colOff>
      <xdr:row>14</xdr:row>
      <xdr:rowOff>546101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9232900" y="8420101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2176009</xdr:colOff>
      <xdr:row>1</xdr:row>
      <xdr:rowOff>635000</xdr:rowOff>
    </xdr:from>
    <xdr:to>
      <xdr:col>8</xdr:col>
      <xdr:colOff>2151063</xdr:colOff>
      <xdr:row>3</xdr:row>
      <xdr:rowOff>598556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646696-7BC8-B64D-99E2-347B5948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1909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4</xdr:col>
      <xdr:colOff>1219200</xdr:colOff>
      <xdr:row>6</xdr:row>
      <xdr:rowOff>241300</xdr:rowOff>
    </xdr:from>
    <xdr:to>
      <xdr:col>5</xdr:col>
      <xdr:colOff>1244600</xdr:colOff>
      <xdr:row>6</xdr:row>
      <xdr:rowOff>558800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1C9458-8918-5A48-B416-C978C36F8C0A}"/>
            </a:ext>
          </a:extLst>
        </xdr:cNvPr>
        <xdr:cNvSpPr txBox="1"/>
      </xdr:nvSpPr>
      <xdr:spPr>
        <a:xfrm>
          <a:off x="6705600" y="3352800"/>
          <a:ext cx="250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16</xdr:row>
      <xdr:rowOff>241300</xdr:rowOff>
    </xdr:from>
    <xdr:to>
      <xdr:col>5</xdr:col>
      <xdr:colOff>1257300</xdr:colOff>
      <xdr:row>16</xdr:row>
      <xdr:rowOff>558800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A19DDBB-81CE-8642-996B-BEB36AED80E4}"/>
            </a:ext>
          </a:extLst>
        </xdr:cNvPr>
        <xdr:cNvSpPr txBox="1"/>
      </xdr:nvSpPr>
      <xdr:spPr>
        <a:xfrm>
          <a:off x="6692900" y="9702800"/>
          <a:ext cx="252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6</xdr:row>
      <xdr:rowOff>241300</xdr:rowOff>
    </xdr:from>
    <xdr:to>
      <xdr:col>7</xdr:col>
      <xdr:colOff>1219200</xdr:colOff>
      <xdr:row>6</xdr:row>
      <xdr:rowOff>558799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FE9A6E-6748-ED49-92A2-CFA16627C2B6}"/>
            </a:ext>
          </a:extLst>
        </xdr:cNvPr>
        <xdr:cNvSpPr txBox="1"/>
      </xdr:nvSpPr>
      <xdr:spPr>
        <a:xfrm>
          <a:off x="9207500" y="33528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1231900</xdr:colOff>
      <xdr:row>6</xdr:row>
      <xdr:rowOff>241300</xdr:rowOff>
    </xdr:from>
    <xdr:to>
      <xdr:col>9</xdr:col>
      <xdr:colOff>25400</xdr:colOff>
      <xdr:row>6</xdr:row>
      <xdr:rowOff>558800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3AF4DB-39AD-9C41-955A-90828F730273}"/>
            </a:ext>
          </a:extLst>
        </xdr:cNvPr>
        <xdr:cNvSpPr txBox="1"/>
      </xdr:nvSpPr>
      <xdr:spPr>
        <a:xfrm>
          <a:off x="14147800" y="3352800"/>
          <a:ext cx="374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241300</xdr:colOff>
      <xdr:row>8</xdr:row>
      <xdr:rowOff>190500</xdr:rowOff>
    </xdr:from>
    <xdr:to>
      <xdr:col>2</xdr:col>
      <xdr:colOff>1193800</xdr:colOff>
      <xdr:row>8</xdr:row>
      <xdr:rowOff>508000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8B4231D-98F0-3A40-9A34-6FC917AEB721}"/>
            </a:ext>
          </a:extLst>
        </xdr:cNvPr>
        <xdr:cNvSpPr txBox="1"/>
      </xdr:nvSpPr>
      <xdr:spPr>
        <a:xfrm>
          <a:off x="508000" y="4572000"/>
          <a:ext cx="121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8</xdr:row>
      <xdr:rowOff>190500</xdr:rowOff>
    </xdr:from>
    <xdr:to>
      <xdr:col>8</xdr:col>
      <xdr:colOff>2463800</xdr:colOff>
      <xdr:row>8</xdr:row>
      <xdr:rowOff>507999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A1F0D14-258D-744A-BBA1-503263118F71}"/>
            </a:ext>
          </a:extLst>
        </xdr:cNvPr>
        <xdr:cNvSpPr txBox="1"/>
      </xdr:nvSpPr>
      <xdr:spPr>
        <a:xfrm>
          <a:off x="9220200" y="4572000"/>
          <a:ext cx="8636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1295400</xdr:colOff>
      <xdr:row>10</xdr:row>
      <xdr:rowOff>203200</xdr:rowOff>
    </xdr:from>
    <xdr:to>
      <xdr:col>7</xdr:col>
      <xdr:colOff>1270000</xdr:colOff>
      <xdr:row>10</xdr:row>
      <xdr:rowOff>520699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4104462-ABDC-004E-9D78-FCFBB070EB7E}"/>
            </a:ext>
          </a:extLst>
        </xdr:cNvPr>
        <xdr:cNvSpPr txBox="1"/>
      </xdr:nvSpPr>
      <xdr:spPr>
        <a:xfrm>
          <a:off x="9258300" y="58547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1282700</xdr:colOff>
      <xdr:row>10</xdr:row>
      <xdr:rowOff>203200</xdr:rowOff>
    </xdr:from>
    <xdr:to>
      <xdr:col>8</xdr:col>
      <xdr:colOff>2463800</xdr:colOff>
      <xdr:row>10</xdr:row>
      <xdr:rowOff>520700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2C6ADC9-D1D4-F54F-B129-60B64441F51A}"/>
            </a:ext>
          </a:extLst>
        </xdr:cNvPr>
        <xdr:cNvSpPr txBox="1"/>
      </xdr:nvSpPr>
      <xdr:spPr>
        <a:xfrm>
          <a:off x="14198600" y="5854700"/>
          <a:ext cx="365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215900</xdr:rowOff>
    </xdr:from>
    <xdr:to>
      <xdr:col>2</xdr:col>
      <xdr:colOff>1130300</xdr:colOff>
      <xdr:row>12</xdr:row>
      <xdr:rowOff>533400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C1421A-7C93-0B47-8C27-2C61FA684263}"/>
            </a:ext>
          </a:extLst>
        </xdr:cNvPr>
        <xdr:cNvSpPr txBox="1"/>
      </xdr:nvSpPr>
      <xdr:spPr>
        <a:xfrm>
          <a:off x="546100" y="7137400"/>
          <a:ext cx="111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1295400</xdr:colOff>
      <xdr:row>12</xdr:row>
      <xdr:rowOff>215901</xdr:rowOff>
    </xdr:from>
    <xdr:to>
      <xdr:col>9</xdr:col>
      <xdr:colOff>12700</xdr:colOff>
      <xdr:row>12</xdr:row>
      <xdr:rowOff>533401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958CAC9-EE32-9C4F-9A00-5F1443BFBE8C}"/>
            </a:ext>
          </a:extLst>
        </xdr:cNvPr>
        <xdr:cNvSpPr txBox="1"/>
      </xdr:nvSpPr>
      <xdr:spPr>
        <a:xfrm>
          <a:off x="9258300" y="7137401"/>
          <a:ext cx="862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228601</xdr:rowOff>
    </xdr:from>
    <xdr:to>
      <xdr:col>4</xdr:col>
      <xdr:colOff>1181100</xdr:colOff>
      <xdr:row>14</xdr:row>
      <xdr:rowOff>546101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D4520E2-B69B-1049-A94A-B4CCDB456842}"/>
            </a:ext>
          </a:extLst>
        </xdr:cNvPr>
        <xdr:cNvSpPr txBox="1"/>
      </xdr:nvSpPr>
      <xdr:spPr>
        <a:xfrm>
          <a:off x="558800" y="8420101"/>
          <a:ext cx="610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14</xdr:row>
      <xdr:rowOff>228600</xdr:rowOff>
    </xdr:from>
    <xdr:to>
      <xdr:col>9</xdr:col>
      <xdr:colOff>0</xdr:colOff>
      <xdr:row>14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32A869A-CDD2-7D4D-BFEE-950926A5574E}"/>
            </a:ext>
          </a:extLst>
        </xdr:cNvPr>
        <xdr:cNvSpPr txBox="1"/>
      </xdr:nvSpPr>
      <xdr:spPr>
        <a:xfrm>
          <a:off x="14211300" y="8420100"/>
          <a:ext cx="365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16</xdr:row>
      <xdr:rowOff>241300</xdr:rowOff>
    </xdr:from>
    <xdr:to>
      <xdr:col>2</xdr:col>
      <xdr:colOff>1117600</xdr:colOff>
      <xdr:row>16</xdr:row>
      <xdr:rowOff>558800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C7B73AD-6A73-BF49-A4FA-B466B3DA89F1}"/>
            </a:ext>
          </a:extLst>
        </xdr:cNvPr>
        <xdr:cNvSpPr txBox="1"/>
      </xdr:nvSpPr>
      <xdr:spPr>
        <a:xfrm>
          <a:off x="533400" y="9702800"/>
          <a:ext cx="111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16</xdr:row>
      <xdr:rowOff>241301</xdr:rowOff>
    </xdr:from>
    <xdr:to>
      <xdr:col>8</xdr:col>
      <xdr:colOff>2463800</xdr:colOff>
      <xdr:row>16</xdr:row>
      <xdr:rowOff>558801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6EA125C-5A36-C548-A5EA-88062B927737}"/>
            </a:ext>
          </a:extLst>
        </xdr:cNvPr>
        <xdr:cNvSpPr txBox="1"/>
      </xdr:nvSpPr>
      <xdr:spPr>
        <a:xfrm>
          <a:off x="9207500" y="9702801"/>
          <a:ext cx="864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1117600</xdr:colOff>
      <xdr:row>12</xdr:row>
      <xdr:rowOff>215900</xdr:rowOff>
    </xdr:from>
    <xdr:to>
      <xdr:col>4</xdr:col>
      <xdr:colOff>1231900</xdr:colOff>
      <xdr:row>12</xdr:row>
      <xdr:rowOff>533399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90233B3-4137-8C4F-873B-B1639199F26C}"/>
            </a:ext>
          </a:extLst>
        </xdr:cNvPr>
        <xdr:cNvSpPr txBox="1"/>
      </xdr:nvSpPr>
      <xdr:spPr>
        <a:xfrm>
          <a:off x="1651000" y="7137400"/>
          <a:ext cx="506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965200</xdr:colOff>
      <xdr:row>6</xdr:row>
      <xdr:rowOff>215900</xdr:rowOff>
    </xdr:from>
    <xdr:to>
      <xdr:col>5</xdr:col>
      <xdr:colOff>1244600</xdr:colOff>
      <xdr:row>6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6451600" y="3327400"/>
          <a:ext cx="2755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25401</xdr:colOff>
      <xdr:row>6</xdr:row>
      <xdr:rowOff>215900</xdr:rowOff>
    </xdr:from>
    <xdr:to>
      <xdr:col>4</xdr:col>
      <xdr:colOff>977901</xdr:colOff>
      <xdr:row>6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558801" y="3327400"/>
          <a:ext cx="5905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10</xdr:row>
      <xdr:rowOff>215900</xdr:rowOff>
    </xdr:from>
    <xdr:to>
      <xdr:col>4</xdr:col>
      <xdr:colOff>1130301</xdr:colOff>
      <xdr:row>10</xdr:row>
      <xdr:rowOff>533400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3401" y="5867400"/>
          <a:ext cx="608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1016000</xdr:colOff>
      <xdr:row>8</xdr:row>
      <xdr:rowOff>228600</xdr:rowOff>
    </xdr:from>
    <xdr:to>
      <xdr:col>5</xdr:col>
      <xdr:colOff>1219200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6502400" y="4610100"/>
          <a:ext cx="2679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1130300</xdr:colOff>
      <xdr:row>12</xdr:row>
      <xdr:rowOff>215900</xdr:rowOff>
    </xdr:from>
    <xdr:to>
      <xdr:col>5</xdr:col>
      <xdr:colOff>1270000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6616700" y="7137400"/>
          <a:ext cx="2616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1143000</xdr:colOff>
      <xdr:row>10</xdr:row>
      <xdr:rowOff>215900</xdr:rowOff>
    </xdr:from>
    <xdr:to>
      <xdr:col>5</xdr:col>
      <xdr:colOff>1219200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6629400" y="5867400"/>
          <a:ext cx="255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1155700</xdr:colOff>
      <xdr:row>12</xdr:row>
      <xdr:rowOff>215900</xdr:rowOff>
    </xdr:from>
    <xdr:to>
      <xdr:col>4</xdr:col>
      <xdr:colOff>1117600</xdr:colOff>
      <xdr:row>12</xdr:row>
      <xdr:rowOff>533399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689100" y="7137400"/>
          <a:ext cx="491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1054100</xdr:colOff>
      <xdr:row>14</xdr:row>
      <xdr:rowOff>190500</xdr:rowOff>
    </xdr:from>
    <xdr:to>
      <xdr:col>5</xdr:col>
      <xdr:colOff>1320800</xdr:colOff>
      <xdr:row>14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6540500" y="8382000"/>
          <a:ext cx="2743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CEDB8-F4D4-AF4D-B834-BE9CD0F7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1231900</xdr:colOff>
      <xdr:row>8</xdr:row>
      <xdr:rowOff>228600</xdr:rowOff>
    </xdr:from>
    <xdr:to>
      <xdr:col>4</xdr:col>
      <xdr:colOff>1003300</xdr:colOff>
      <xdr:row>8</xdr:row>
      <xdr:rowOff>546099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2DEC41-9A8F-4F47-A64B-C108396A456D}"/>
            </a:ext>
          </a:extLst>
        </xdr:cNvPr>
        <xdr:cNvSpPr txBox="1"/>
      </xdr:nvSpPr>
      <xdr:spPr>
        <a:xfrm>
          <a:off x="1765300" y="4610100"/>
          <a:ext cx="4724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190500</xdr:rowOff>
    </xdr:from>
    <xdr:to>
      <xdr:col>4</xdr:col>
      <xdr:colOff>1054100</xdr:colOff>
      <xdr:row>14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BF7BD3-6393-CD41-A1CE-06D7F1435DF4}"/>
            </a:ext>
          </a:extLst>
        </xdr:cNvPr>
        <xdr:cNvSpPr txBox="1"/>
      </xdr:nvSpPr>
      <xdr:spPr>
        <a:xfrm>
          <a:off x="546100" y="8382000"/>
          <a:ext cx="5994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1104900</xdr:colOff>
      <xdr:row>16</xdr:row>
      <xdr:rowOff>215900</xdr:rowOff>
    </xdr:from>
    <xdr:to>
      <xdr:col>5</xdr:col>
      <xdr:colOff>1320800</xdr:colOff>
      <xdr:row>16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3AFA058-630F-754D-995A-84F629729AFD}"/>
            </a:ext>
          </a:extLst>
        </xdr:cNvPr>
        <xdr:cNvSpPr txBox="1"/>
      </xdr:nvSpPr>
      <xdr:spPr>
        <a:xfrm>
          <a:off x="6591300" y="9677400"/>
          <a:ext cx="2692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1168400</xdr:colOff>
      <xdr:row>16</xdr:row>
      <xdr:rowOff>215900</xdr:rowOff>
    </xdr:from>
    <xdr:to>
      <xdr:col>4</xdr:col>
      <xdr:colOff>1104900</xdr:colOff>
      <xdr:row>16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BAC7429-8656-F843-B9B1-4EFD5DA327D7}"/>
            </a:ext>
          </a:extLst>
        </xdr:cNvPr>
        <xdr:cNvSpPr txBox="1"/>
      </xdr:nvSpPr>
      <xdr:spPr>
        <a:xfrm>
          <a:off x="1701800" y="96774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6</xdr:row>
      <xdr:rowOff>215900</xdr:rowOff>
    </xdr:from>
    <xdr:to>
      <xdr:col>7</xdr:col>
      <xdr:colOff>1219200</xdr:colOff>
      <xdr:row>6</xdr:row>
      <xdr:rowOff>533399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405D62-F9E7-6148-AA00-3DC04A3A22EF}"/>
            </a:ext>
          </a:extLst>
        </xdr:cNvPr>
        <xdr:cNvSpPr txBox="1"/>
      </xdr:nvSpPr>
      <xdr:spPr>
        <a:xfrm>
          <a:off x="9207500" y="33274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1231900</xdr:colOff>
      <xdr:row>6</xdr:row>
      <xdr:rowOff>215900</xdr:rowOff>
    </xdr:from>
    <xdr:to>
      <xdr:col>8</xdr:col>
      <xdr:colOff>2463800</xdr:colOff>
      <xdr:row>6</xdr:row>
      <xdr:rowOff>533400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97ECEC-A222-B248-AA29-DEBDA327C39B}"/>
            </a:ext>
          </a:extLst>
        </xdr:cNvPr>
        <xdr:cNvSpPr txBox="1"/>
      </xdr:nvSpPr>
      <xdr:spPr>
        <a:xfrm>
          <a:off x="14147800" y="3327400"/>
          <a:ext cx="370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8</xdr:row>
      <xdr:rowOff>228600</xdr:rowOff>
    </xdr:from>
    <xdr:to>
      <xdr:col>2</xdr:col>
      <xdr:colOff>1244600</xdr:colOff>
      <xdr:row>8</xdr:row>
      <xdr:rowOff>546100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9B1D3D-A827-FB41-8083-271B25D9BFF7}"/>
            </a:ext>
          </a:extLst>
        </xdr:cNvPr>
        <xdr:cNvSpPr txBox="1"/>
      </xdr:nvSpPr>
      <xdr:spPr>
        <a:xfrm>
          <a:off x="571500" y="4610100"/>
          <a:ext cx="120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1219201</xdr:colOff>
      <xdr:row>8</xdr:row>
      <xdr:rowOff>228600</xdr:rowOff>
    </xdr:from>
    <xdr:to>
      <xdr:col>8</xdr:col>
      <xdr:colOff>2463801</xdr:colOff>
      <xdr:row>8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7D8F4BC-FB83-3841-83D8-C34B9753265C}"/>
            </a:ext>
          </a:extLst>
        </xdr:cNvPr>
        <xdr:cNvSpPr txBox="1"/>
      </xdr:nvSpPr>
      <xdr:spPr>
        <a:xfrm>
          <a:off x="9182101" y="4610100"/>
          <a:ext cx="867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10</xdr:row>
      <xdr:rowOff>215900</xdr:rowOff>
    </xdr:from>
    <xdr:to>
      <xdr:col>7</xdr:col>
      <xdr:colOff>1155700</xdr:colOff>
      <xdr:row>10</xdr:row>
      <xdr:rowOff>533399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7FD4FD2-4DEA-504C-9D52-8AABF0DD0B26}"/>
            </a:ext>
          </a:extLst>
        </xdr:cNvPr>
        <xdr:cNvSpPr txBox="1"/>
      </xdr:nvSpPr>
      <xdr:spPr>
        <a:xfrm>
          <a:off x="9194800" y="5867400"/>
          <a:ext cx="487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1168400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AA654F8-BBDE-614A-BCD8-A0FE3B68C310}"/>
            </a:ext>
          </a:extLst>
        </xdr:cNvPr>
        <xdr:cNvSpPr txBox="1"/>
      </xdr:nvSpPr>
      <xdr:spPr>
        <a:xfrm>
          <a:off x="14084300" y="5867400"/>
          <a:ext cx="378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215900</xdr:rowOff>
    </xdr:from>
    <xdr:to>
      <xdr:col>2</xdr:col>
      <xdr:colOff>1155700</xdr:colOff>
      <xdr:row>12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941DB7-BC8E-F147-A5C6-07C050809B9D}"/>
            </a:ext>
          </a:extLst>
        </xdr:cNvPr>
        <xdr:cNvSpPr txBox="1"/>
      </xdr:nvSpPr>
      <xdr:spPr>
        <a:xfrm>
          <a:off x="558800" y="7137400"/>
          <a:ext cx="113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1282701</xdr:colOff>
      <xdr:row>12</xdr:row>
      <xdr:rowOff>215900</xdr:rowOff>
    </xdr:from>
    <xdr:to>
      <xdr:col>8</xdr:col>
      <xdr:colOff>2463800</xdr:colOff>
      <xdr:row>12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24DFFCD-615F-8D4B-94B4-DC4B312BBE85}"/>
            </a:ext>
          </a:extLst>
        </xdr:cNvPr>
        <xdr:cNvSpPr txBox="1"/>
      </xdr:nvSpPr>
      <xdr:spPr>
        <a:xfrm>
          <a:off x="9245601" y="7137400"/>
          <a:ext cx="8610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1333500</xdr:colOff>
      <xdr:row>14</xdr:row>
      <xdr:rowOff>190500</xdr:rowOff>
    </xdr:from>
    <xdr:to>
      <xdr:col>7</xdr:col>
      <xdr:colOff>1257300</xdr:colOff>
      <xdr:row>14</xdr:row>
      <xdr:rowOff>507999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FDC2AF0-BF69-A540-9C12-407E7C828ECF}"/>
            </a:ext>
          </a:extLst>
        </xdr:cNvPr>
        <xdr:cNvSpPr txBox="1"/>
      </xdr:nvSpPr>
      <xdr:spPr>
        <a:xfrm>
          <a:off x="9296400" y="8382000"/>
          <a:ext cx="487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1257300</xdr:colOff>
      <xdr:row>14</xdr:row>
      <xdr:rowOff>190500</xdr:rowOff>
    </xdr:from>
    <xdr:to>
      <xdr:col>8</xdr:col>
      <xdr:colOff>2463800</xdr:colOff>
      <xdr:row>14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A5B03BB-D362-F64B-918B-E1FB3C3AD369}"/>
            </a:ext>
          </a:extLst>
        </xdr:cNvPr>
        <xdr:cNvSpPr txBox="1"/>
      </xdr:nvSpPr>
      <xdr:spPr>
        <a:xfrm>
          <a:off x="14173200" y="8382000"/>
          <a:ext cx="368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215900</xdr:rowOff>
    </xdr:from>
    <xdr:to>
      <xdr:col>2</xdr:col>
      <xdr:colOff>1193800</xdr:colOff>
      <xdr:row>16</xdr:row>
      <xdr:rowOff>533400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9093CE0-56CD-D34F-8D46-2F0E2CCA4D6C}"/>
            </a:ext>
          </a:extLst>
        </xdr:cNvPr>
        <xdr:cNvSpPr txBox="1"/>
      </xdr:nvSpPr>
      <xdr:spPr>
        <a:xfrm>
          <a:off x="558800" y="9677400"/>
          <a:ext cx="116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1308101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3AA24D7-35A9-304D-B50D-79F5410F9B52}"/>
            </a:ext>
          </a:extLst>
        </xdr:cNvPr>
        <xdr:cNvSpPr txBox="1"/>
      </xdr:nvSpPr>
      <xdr:spPr>
        <a:xfrm>
          <a:off x="9271001" y="9677400"/>
          <a:ext cx="8610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1371600</xdr:colOff>
      <xdr:row>10</xdr:row>
      <xdr:rowOff>228600</xdr:rowOff>
    </xdr:from>
    <xdr:to>
      <xdr:col>4</xdr:col>
      <xdr:colOff>1257300</xdr:colOff>
      <xdr:row>10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905000" y="5880100"/>
          <a:ext cx="4838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1447800</xdr:colOff>
      <xdr:row>14</xdr:row>
      <xdr:rowOff>228600</xdr:rowOff>
    </xdr:from>
    <xdr:to>
      <xdr:col>4</xdr:col>
      <xdr:colOff>1219200</xdr:colOff>
      <xdr:row>14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981200" y="8420100"/>
          <a:ext cx="4724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1231900</xdr:colOff>
      <xdr:row>8</xdr:row>
      <xdr:rowOff>228600</xdr:rowOff>
    </xdr:from>
    <xdr:to>
      <xdr:col>5</xdr:col>
      <xdr:colOff>1358900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6718300" y="4610100"/>
          <a:ext cx="2603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1270000</xdr:colOff>
      <xdr:row>10</xdr:row>
      <xdr:rowOff>228600</xdr:rowOff>
    </xdr:from>
    <xdr:to>
      <xdr:col>5</xdr:col>
      <xdr:colOff>1320800</xdr:colOff>
      <xdr:row>10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6756400" y="5880100"/>
          <a:ext cx="252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12</xdr:row>
      <xdr:rowOff>228600</xdr:rowOff>
    </xdr:from>
    <xdr:to>
      <xdr:col>5</xdr:col>
      <xdr:colOff>1384300</xdr:colOff>
      <xdr:row>12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6680200" y="7150100"/>
          <a:ext cx="2667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14</xdr:row>
      <xdr:rowOff>228600</xdr:rowOff>
    </xdr:from>
    <xdr:to>
      <xdr:col>5</xdr:col>
      <xdr:colOff>1409700</xdr:colOff>
      <xdr:row>14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6705600" y="8420100"/>
          <a:ext cx="2667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1244600</xdr:colOff>
      <xdr:row>6</xdr:row>
      <xdr:rowOff>254000</xdr:rowOff>
    </xdr:from>
    <xdr:to>
      <xdr:col>5</xdr:col>
      <xdr:colOff>1333500</xdr:colOff>
      <xdr:row>6</xdr:row>
      <xdr:rowOff>571500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6731000" y="3365500"/>
          <a:ext cx="2565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1384300</xdr:colOff>
      <xdr:row>12</xdr:row>
      <xdr:rowOff>228600</xdr:rowOff>
    </xdr:from>
    <xdr:to>
      <xdr:col>7</xdr:col>
      <xdr:colOff>1193800</xdr:colOff>
      <xdr:row>12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9347200" y="7150100"/>
          <a:ext cx="4762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8</xdr:row>
      <xdr:rowOff>228600</xdr:rowOff>
    </xdr:from>
    <xdr:to>
      <xdr:col>4</xdr:col>
      <xdr:colOff>1219201</xdr:colOff>
      <xdr:row>8</xdr:row>
      <xdr:rowOff>546100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546101" y="4610100"/>
          <a:ext cx="615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647700</xdr:rowOff>
    </xdr:from>
    <xdr:to>
      <xdr:col>8</xdr:col>
      <xdr:colOff>2143304</xdr:colOff>
      <xdr:row>3</xdr:row>
      <xdr:rowOff>611256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E73BE-71C2-F848-879A-2361AB7CC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382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1333500</xdr:colOff>
      <xdr:row>6</xdr:row>
      <xdr:rowOff>254000</xdr:rowOff>
    </xdr:from>
    <xdr:to>
      <xdr:col>4</xdr:col>
      <xdr:colOff>1244600</xdr:colOff>
      <xdr:row>6</xdr:row>
      <xdr:rowOff>571499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72711-741F-BF42-8DC3-BCB8B69E05BD}"/>
            </a:ext>
          </a:extLst>
        </xdr:cNvPr>
        <xdr:cNvSpPr txBox="1"/>
      </xdr:nvSpPr>
      <xdr:spPr>
        <a:xfrm>
          <a:off x="1866900" y="3365500"/>
          <a:ext cx="4864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1193800</xdr:colOff>
      <xdr:row>16</xdr:row>
      <xdr:rowOff>215900</xdr:rowOff>
    </xdr:from>
    <xdr:to>
      <xdr:col>5</xdr:col>
      <xdr:colOff>1384300</xdr:colOff>
      <xdr:row>16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53A0E6D-CDEF-2049-AE73-BC7300E2148B}"/>
            </a:ext>
          </a:extLst>
        </xdr:cNvPr>
        <xdr:cNvSpPr txBox="1"/>
      </xdr:nvSpPr>
      <xdr:spPr>
        <a:xfrm>
          <a:off x="6680200" y="9677400"/>
          <a:ext cx="2667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1384299</xdr:colOff>
      <xdr:row>16</xdr:row>
      <xdr:rowOff>215900</xdr:rowOff>
    </xdr:from>
    <xdr:to>
      <xdr:col>7</xdr:col>
      <xdr:colOff>1244600</xdr:colOff>
      <xdr:row>16</xdr:row>
      <xdr:rowOff>533400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3D19DE8-2FB8-9D4A-B49E-830A2A2A0597}"/>
            </a:ext>
          </a:extLst>
        </xdr:cNvPr>
        <xdr:cNvSpPr txBox="1"/>
      </xdr:nvSpPr>
      <xdr:spPr>
        <a:xfrm>
          <a:off x="9347199" y="9677400"/>
          <a:ext cx="48133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6</xdr:row>
      <xdr:rowOff>254000</xdr:rowOff>
    </xdr:from>
    <xdr:to>
      <xdr:col>2</xdr:col>
      <xdr:colOff>1346200</xdr:colOff>
      <xdr:row>6</xdr:row>
      <xdr:rowOff>571500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B8BC54-038E-B245-BB51-63431DB26AF0}"/>
            </a:ext>
          </a:extLst>
        </xdr:cNvPr>
        <xdr:cNvSpPr txBox="1"/>
      </xdr:nvSpPr>
      <xdr:spPr>
        <a:xfrm>
          <a:off x="558800" y="3365500"/>
          <a:ext cx="1320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1333500</xdr:colOff>
      <xdr:row>6</xdr:row>
      <xdr:rowOff>254000</xdr:rowOff>
    </xdr:from>
    <xdr:to>
      <xdr:col>9</xdr:col>
      <xdr:colOff>0</xdr:colOff>
      <xdr:row>6</xdr:row>
      <xdr:rowOff>571499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22115B-E105-6E47-8D4A-70272DC795F7}"/>
            </a:ext>
          </a:extLst>
        </xdr:cNvPr>
        <xdr:cNvSpPr txBox="1"/>
      </xdr:nvSpPr>
      <xdr:spPr>
        <a:xfrm>
          <a:off x="9296400" y="3365500"/>
          <a:ext cx="8572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1358901</xdr:colOff>
      <xdr:row>8</xdr:row>
      <xdr:rowOff>228600</xdr:rowOff>
    </xdr:from>
    <xdr:to>
      <xdr:col>7</xdr:col>
      <xdr:colOff>1117600</xdr:colOff>
      <xdr:row>8</xdr:row>
      <xdr:rowOff>546100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F01F046-6CB4-AC47-B23A-1EC58D9761CC}"/>
            </a:ext>
          </a:extLst>
        </xdr:cNvPr>
        <xdr:cNvSpPr txBox="1"/>
      </xdr:nvSpPr>
      <xdr:spPr>
        <a:xfrm>
          <a:off x="9321801" y="4610100"/>
          <a:ext cx="47116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1130300</xdr:colOff>
      <xdr:row>8</xdr:row>
      <xdr:rowOff>228600</xdr:rowOff>
    </xdr:from>
    <xdr:to>
      <xdr:col>9</xdr:col>
      <xdr:colOff>0</xdr:colOff>
      <xdr:row>8</xdr:row>
      <xdr:rowOff>546100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655F11F-4FE3-9541-AA3F-E5E309B7A14C}"/>
            </a:ext>
          </a:extLst>
        </xdr:cNvPr>
        <xdr:cNvSpPr txBox="1"/>
      </xdr:nvSpPr>
      <xdr:spPr>
        <a:xfrm>
          <a:off x="14046200" y="4610100"/>
          <a:ext cx="382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38100</xdr:colOff>
      <xdr:row>10</xdr:row>
      <xdr:rowOff>228600</xdr:rowOff>
    </xdr:from>
    <xdr:to>
      <xdr:col>2</xdr:col>
      <xdr:colOff>1358900</xdr:colOff>
      <xdr:row>10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AFD8EC5-EE1D-BA4D-BE01-85C8453913FE}"/>
            </a:ext>
          </a:extLst>
        </xdr:cNvPr>
        <xdr:cNvSpPr txBox="1"/>
      </xdr:nvSpPr>
      <xdr:spPr>
        <a:xfrm>
          <a:off x="571500" y="5880100"/>
          <a:ext cx="1320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1320800</xdr:colOff>
      <xdr:row>10</xdr:row>
      <xdr:rowOff>228600</xdr:rowOff>
    </xdr:from>
    <xdr:to>
      <xdr:col>8</xdr:col>
      <xdr:colOff>2463800</xdr:colOff>
      <xdr:row>10</xdr:row>
      <xdr:rowOff>546099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C4FBAD1-F016-8346-9195-DE44531624A3}"/>
            </a:ext>
          </a:extLst>
        </xdr:cNvPr>
        <xdr:cNvSpPr txBox="1"/>
      </xdr:nvSpPr>
      <xdr:spPr>
        <a:xfrm>
          <a:off x="9283700" y="5880100"/>
          <a:ext cx="8572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</xdr:colOff>
      <xdr:row>12</xdr:row>
      <xdr:rowOff>228600</xdr:rowOff>
    </xdr:from>
    <xdr:to>
      <xdr:col>4</xdr:col>
      <xdr:colOff>1206501</xdr:colOff>
      <xdr:row>12</xdr:row>
      <xdr:rowOff>546100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25E7401-52A6-4F4E-BF49-61D0CAE9B25D}"/>
            </a:ext>
          </a:extLst>
        </xdr:cNvPr>
        <xdr:cNvSpPr txBox="1"/>
      </xdr:nvSpPr>
      <xdr:spPr>
        <a:xfrm>
          <a:off x="533401" y="7150100"/>
          <a:ext cx="615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228600</xdr:rowOff>
    </xdr:from>
    <xdr:to>
      <xdr:col>9</xdr:col>
      <xdr:colOff>0</xdr:colOff>
      <xdr:row>12</xdr:row>
      <xdr:rowOff>546100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12A0352-C7D5-0C4E-AE7B-EEA1BBCB1FE4}"/>
            </a:ext>
          </a:extLst>
        </xdr:cNvPr>
        <xdr:cNvSpPr txBox="1"/>
      </xdr:nvSpPr>
      <xdr:spPr>
        <a:xfrm>
          <a:off x="14122400" y="7150100"/>
          <a:ext cx="374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2</xdr:col>
      <xdr:colOff>1447800</xdr:colOff>
      <xdr:row>14</xdr:row>
      <xdr:rowOff>546100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A67F470-3F60-B946-88BC-9F63DAFC0B2B}"/>
            </a:ext>
          </a:extLst>
        </xdr:cNvPr>
        <xdr:cNvSpPr txBox="1"/>
      </xdr:nvSpPr>
      <xdr:spPr>
        <a:xfrm>
          <a:off x="546100" y="8420100"/>
          <a:ext cx="1435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1422400</xdr:colOff>
      <xdr:row>14</xdr:row>
      <xdr:rowOff>228600</xdr:rowOff>
    </xdr:from>
    <xdr:to>
      <xdr:col>9</xdr:col>
      <xdr:colOff>0</xdr:colOff>
      <xdr:row>14</xdr:row>
      <xdr:rowOff>546099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F8A98AA-3AEE-6245-92BF-60264015EFA4}"/>
            </a:ext>
          </a:extLst>
        </xdr:cNvPr>
        <xdr:cNvSpPr txBox="1"/>
      </xdr:nvSpPr>
      <xdr:spPr>
        <a:xfrm>
          <a:off x="9385300" y="8420100"/>
          <a:ext cx="8483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1244600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A5D1675-A0B7-1E49-853F-F7BAAF961491}"/>
            </a:ext>
          </a:extLst>
        </xdr:cNvPr>
        <xdr:cNvSpPr txBox="1"/>
      </xdr:nvSpPr>
      <xdr:spPr>
        <a:xfrm>
          <a:off x="14160500" y="9677400"/>
          <a:ext cx="372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4</xdr:col>
      <xdr:colOff>1193800</xdr:colOff>
      <xdr:row>16</xdr:row>
      <xdr:rowOff>533399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657CCB3-2163-F34F-BF58-D1B4A1528198}"/>
            </a:ext>
          </a:extLst>
        </xdr:cNvPr>
        <xdr:cNvSpPr txBox="1"/>
      </xdr:nvSpPr>
      <xdr:spPr>
        <a:xfrm>
          <a:off x="546100" y="9677400"/>
          <a:ext cx="6134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1181100</xdr:colOff>
      <xdr:row>10</xdr:row>
      <xdr:rowOff>228600</xdr:rowOff>
    </xdr:from>
    <xdr:to>
      <xdr:col>4</xdr:col>
      <xdr:colOff>1155700</xdr:colOff>
      <xdr:row>10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714500" y="58801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1181100</xdr:colOff>
      <xdr:row>14</xdr:row>
      <xdr:rowOff>228600</xdr:rowOff>
    </xdr:from>
    <xdr:to>
      <xdr:col>4</xdr:col>
      <xdr:colOff>1155700</xdr:colOff>
      <xdr:row>14</xdr:row>
      <xdr:rowOff>546099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714500" y="84201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1206500</xdr:colOff>
      <xdr:row>8</xdr:row>
      <xdr:rowOff>228600</xdr:rowOff>
    </xdr:from>
    <xdr:to>
      <xdr:col>5</xdr:col>
      <xdr:colOff>1231900</xdr:colOff>
      <xdr:row>8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6692900" y="4610100"/>
          <a:ext cx="250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10</xdr:row>
      <xdr:rowOff>228600</xdr:rowOff>
    </xdr:from>
    <xdr:to>
      <xdr:col>5</xdr:col>
      <xdr:colOff>1193800</xdr:colOff>
      <xdr:row>10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6642100" y="5880100"/>
          <a:ext cx="251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12</xdr:row>
      <xdr:rowOff>228600</xdr:rowOff>
    </xdr:from>
    <xdr:to>
      <xdr:col>5</xdr:col>
      <xdr:colOff>1231900</xdr:colOff>
      <xdr:row>12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6642100" y="7150100"/>
          <a:ext cx="255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14</xdr:row>
      <xdr:rowOff>228600</xdr:rowOff>
    </xdr:from>
    <xdr:to>
      <xdr:col>5</xdr:col>
      <xdr:colOff>1193800</xdr:colOff>
      <xdr:row>14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6654800" y="8420100"/>
          <a:ext cx="250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1143000</xdr:colOff>
      <xdr:row>16</xdr:row>
      <xdr:rowOff>228600</xdr:rowOff>
    </xdr:from>
    <xdr:to>
      <xdr:col>5</xdr:col>
      <xdr:colOff>1143000</xdr:colOff>
      <xdr:row>16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6629400" y="9690100"/>
          <a:ext cx="247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4</xdr:col>
      <xdr:colOff>1193800</xdr:colOff>
      <xdr:row>8</xdr:row>
      <xdr:rowOff>546100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546100" y="4610100"/>
          <a:ext cx="613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12</xdr:row>
      <xdr:rowOff>228600</xdr:rowOff>
    </xdr:from>
    <xdr:to>
      <xdr:col>7</xdr:col>
      <xdr:colOff>1257300</xdr:colOff>
      <xdr:row>12</xdr:row>
      <xdr:rowOff>546100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9182100" y="7150100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A248AA-9C01-6345-8C03-67B2A43A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5</xdr:col>
      <xdr:colOff>1143000</xdr:colOff>
      <xdr:row>16</xdr:row>
      <xdr:rowOff>228600</xdr:rowOff>
    </xdr:from>
    <xdr:to>
      <xdr:col>7</xdr:col>
      <xdr:colOff>1320800</xdr:colOff>
      <xdr:row>16</xdr:row>
      <xdr:rowOff>546100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2025D4-852B-C841-8F3B-AFFAE33E1068}"/>
            </a:ext>
          </a:extLst>
        </xdr:cNvPr>
        <xdr:cNvSpPr txBox="1"/>
      </xdr:nvSpPr>
      <xdr:spPr>
        <a:xfrm>
          <a:off x="9105900" y="9690100"/>
          <a:ext cx="5130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6</xdr:row>
      <xdr:rowOff>228600</xdr:rowOff>
    </xdr:from>
    <xdr:to>
      <xdr:col>4</xdr:col>
      <xdr:colOff>1231900</xdr:colOff>
      <xdr:row>6</xdr:row>
      <xdr:rowOff>546099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B4E7380-524A-ED4E-B089-258A58CB939C}"/>
            </a:ext>
          </a:extLst>
        </xdr:cNvPr>
        <xdr:cNvSpPr txBox="1"/>
      </xdr:nvSpPr>
      <xdr:spPr>
        <a:xfrm>
          <a:off x="1816100" y="3340100"/>
          <a:ext cx="490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1231900</xdr:colOff>
      <xdr:row>6</xdr:row>
      <xdr:rowOff>228600</xdr:rowOff>
    </xdr:from>
    <xdr:to>
      <xdr:col>5</xdr:col>
      <xdr:colOff>1231900</xdr:colOff>
      <xdr:row>6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B8A285A-505C-EF4A-8A42-CF243E687B2D}"/>
            </a:ext>
          </a:extLst>
        </xdr:cNvPr>
        <xdr:cNvSpPr txBox="1"/>
      </xdr:nvSpPr>
      <xdr:spPr>
        <a:xfrm>
          <a:off x="6718300" y="3340100"/>
          <a:ext cx="247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228600</xdr:rowOff>
    </xdr:from>
    <xdr:to>
      <xdr:col>2</xdr:col>
      <xdr:colOff>1282700</xdr:colOff>
      <xdr:row>6</xdr:row>
      <xdr:rowOff>546100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F113F1-F99D-CA47-A3FB-2F3182FEC6EF}"/>
            </a:ext>
          </a:extLst>
        </xdr:cNvPr>
        <xdr:cNvSpPr txBox="1"/>
      </xdr:nvSpPr>
      <xdr:spPr>
        <a:xfrm>
          <a:off x="546100" y="3340100"/>
          <a:ext cx="127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6</xdr:row>
      <xdr:rowOff>228600</xdr:rowOff>
    </xdr:from>
    <xdr:to>
      <xdr:col>8</xdr:col>
      <xdr:colOff>2463800</xdr:colOff>
      <xdr:row>6</xdr:row>
      <xdr:rowOff>546099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C3B567-CC52-154C-A55E-CDEA797E96EE}"/>
            </a:ext>
          </a:extLst>
        </xdr:cNvPr>
        <xdr:cNvSpPr txBox="1"/>
      </xdr:nvSpPr>
      <xdr:spPr>
        <a:xfrm>
          <a:off x="9194800" y="3340100"/>
          <a:ext cx="8661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1244600</xdr:colOff>
      <xdr:row>8</xdr:row>
      <xdr:rowOff>228600</xdr:rowOff>
    </xdr:from>
    <xdr:to>
      <xdr:col>7</xdr:col>
      <xdr:colOff>1244600</xdr:colOff>
      <xdr:row>8</xdr:row>
      <xdr:rowOff>546099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7A3B54-A14E-014F-8F75-61C8E9C5B792}"/>
            </a:ext>
          </a:extLst>
        </xdr:cNvPr>
        <xdr:cNvSpPr txBox="1"/>
      </xdr:nvSpPr>
      <xdr:spPr>
        <a:xfrm>
          <a:off x="9207500" y="4610100"/>
          <a:ext cx="495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1244600</xdr:colOff>
      <xdr:row>8</xdr:row>
      <xdr:rowOff>228600</xdr:rowOff>
    </xdr:from>
    <xdr:to>
      <xdr:col>9</xdr:col>
      <xdr:colOff>0</xdr:colOff>
      <xdr:row>8</xdr:row>
      <xdr:rowOff>546100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DC99D78-A3CA-FB49-9784-0C74DD70FE92}"/>
            </a:ext>
          </a:extLst>
        </xdr:cNvPr>
        <xdr:cNvSpPr txBox="1"/>
      </xdr:nvSpPr>
      <xdr:spPr>
        <a:xfrm>
          <a:off x="14160500" y="4610100"/>
          <a:ext cx="370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10</xdr:row>
      <xdr:rowOff>228600</xdr:rowOff>
    </xdr:from>
    <xdr:to>
      <xdr:col>9</xdr:col>
      <xdr:colOff>0</xdr:colOff>
      <xdr:row>10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3032A2B-BEB5-E745-984D-81C9305E0B7F}"/>
            </a:ext>
          </a:extLst>
        </xdr:cNvPr>
        <xdr:cNvSpPr txBox="1"/>
      </xdr:nvSpPr>
      <xdr:spPr>
        <a:xfrm>
          <a:off x="9169400" y="5880100"/>
          <a:ext cx="8699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2</xdr:col>
      <xdr:colOff>1193800</xdr:colOff>
      <xdr:row>10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26819F7-2081-F740-BCE3-D7075DC22A57}"/>
            </a:ext>
          </a:extLst>
        </xdr:cNvPr>
        <xdr:cNvSpPr txBox="1"/>
      </xdr:nvSpPr>
      <xdr:spPr>
        <a:xfrm>
          <a:off x="546100" y="5880100"/>
          <a:ext cx="118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4</xdr:col>
      <xdr:colOff>1155700</xdr:colOff>
      <xdr:row>12</xdr:row>
      <xdr:rowOff>546100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983864B-AA48-F440-B622-2876B52CD22D}"/>
            </a:ext>
          </a:extLst>
        </xdr:cNvPr>
        <xdr:cNvSpPr txBox="1"/>
      </xdr:nvSpPr>
      <xdr:spPr>
        <a:xfrm>
          <a:off x="546100" y="7150100"/>
          <a:ext cx="6096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12</xdr:row>
      <xdr:rowOff>228600</xdr:rowOff>
    </xdr:from>
    <xdr:to>
      <xdr:col>9</xdr:col>
      <xdr:colOff>0</xdr:colOff>
      <xdr:row>12</xdr:row>
      <xdr:rowOff>546100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512AC26-6FDA-A24F-883D-41348A4BD0FB}"/>
            </a:ext>
          </a:extLst>
        </xdr:cNvPr>
        <xdr:cNvSpPr txBox="1"/>
      </xdr:nvSpPr>
      <xdr:spPr>
        <a:xfrm>
          <a:off x="14185900" y="7150100"/>
          <a:ext cx="368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14</xdr:row>
      <xdr:rowOff>228600</xdr:rowOff>
    </xdr:from>
    <xdr:to>
      <xdr:col>9</xdr:col>
      <xdr:colOff>0</xdr:colOff>
      <xdr:row>14</xdr:row>
      <xdr:rowOff>546099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31ECF45-BE6C-7E47-BC24-C3C34CBD68B7}"/>
            </a:ext>
          </a:extLst>
        </xdr:cNvPr>
        <xdr:cNvSpPr txBox="1"/>
      </xdr:nvSpPr>
      <xdr:spPr>
        <a:xfrm>
          <a:off x="9169400" y="8420100"/>
          <a:ext cx="8699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25400</xdr:colOff>
      <xdr:row>14</xdr:row>
      <xdr:rowOff>228600</xdr:rowOff>
    </xdr:from>
    <xdr:to>
      <xdr:col>2</xdr:col>
      <xdr:colOff>1193800</xdr:colOff>
      <xdr:row>14</xdr:row>
      <xdr:rowOff>546100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BAACEDF-7711-9D48-BB79-33AD9647DFF2}"/>
            </a:ext>
          </a:extLst>
        </xdr:cNvPr>
        <xdr:cNvSpPr txBox="1"/>
      </xdr:nvSpPr>
      <xdr:spPr>
        <a:xfrm>
          <a:off x="558800" y="8420100"/>
          <a:ext cx="116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1320800</xdr:colOff>
      <xdr:row>16</xdr:row>
      <xdr:rowOff>228600</xdr:rowOff>
    </xdr:from>
    <xdr:to>
      <xdr:col>9</xdr:col>
      <xdr:colOff>0</xdr:colOff>
      <xdr:row>16</xdr:row>
      <xdr:rowOff>546100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7CD8D9A-4D2A-5C45-ACF7-4A59DF9FCC20}"/>
            </a:ext>
          </a:extLst>
        </xdr:cNvPr>
        <xdr:cNvSpPr txBox="1"/>
      </xdr:nvSpPr>
      <xdr:spPr>
        <a:xfrm>
          <a:off x="14236700" y="9690100"/>
          <a:ext cx="363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228600</xdr:rowOff>
    </xdr:from>
    <xdr:to>
      <xdr:col>4</xdr:col>
      <xdr:colOff>1143000</xdr:colOff>
      <xdr:row>16</xdr:row>
      <xdr:rowOff>546100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4475636-1032-6749-8CD5-2DC46D0661E2}"/>
            </a:ext>
          </a:extLst>
        </xdr:cNvPr>
        <xdr:cNvSpPr txBox="1"/>
      </xdr:nvSpPr>
      <xdr:spPr>
        <a:xfrm>
          <a:off x="546100" y="9690100"/>
          <a:ext cx="608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1295400</xdr:colOff>
      <xdr:row>10</xdr:row>
      <xdr:rowOff>228600</xdr:rowOff>
    </xdr:from>
    <xdr:to>
      <xdr:col>4</xdr:col>
      <xdr:colOff>1193800</xdr:colOff>
      <xdr:row>10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828800" y="5880100"/>
          <a:ext cx="4851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1257300</xdr:colOff>
      <xdr:row>14</xdr:row>
      <xdr:rowOff>228600</xdr:rowOff>
    </xdr:from>
    <xdr:to>
      <xdr:col>4</xdr:col>
      <xdr:colOff>1168400</xdr:colOff>
      <xdr:row>14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790700" y="8420100"/>
          <a:ext cx="4864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1219200</xdr:colOff>
      <xdr:row>6</xdr:row>
      <xdr:rowOff>279400</xdr:rowOff>
    </xdr:from>
    <xdr:to>
      <xdr:col>5</xdr:col>
      <xdr:colOff>1257300</xdr:colOff>
      <xdr:row>6</xdr:row>
      <xdr:rowOff>596900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6705600" y="3390900"/>
          <a:ext cx="251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8</xdr:row>
      <xdr:rowOff>228600</xdr:rowOff>
    </xdr:from>
    <xdr:to>
      <xdr:col>5</xdr:col>
      <xdr:colOff>1231900</xdr:colOff>
      <xdr:row>8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6667500" y="4610100"/>
          <a:ext cx="252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1206500</xdr:colOff>
      <xdr:row>10</xdr:row>
      <xdr:rowOff>228600</xdr:rowOff>
    </xdr:from>
    <xdr:to>
      <xdr:col>5</xdr:col>
      <xdr:colOff>1181100</xdr:colOff>
      <xdr:row>10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6692900" y="5880100"/>
          <a:ext cx="245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12</xdr:row>
      <xdr:rowOff>228600</xdr:rowOff>
    </xdr:from>
    <xdr:to>
      <xdr:col>5</xdr:col>
      <xdr:colOff>1206500</xdr:colOff>
      <xdr:row>12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6642100" y="7150100"/>
          <a:ext cx="2527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1181100</xdr:colOff>
      <xdr:row>14</xdr:row>
      <xdr:rowOff>228600</xdr:rowOff>
    </xdr:from>
    <xdr:to>
      <xdr:col>5</xdr:col>
      <xdr:colOff>1181100</xdr:colOff>
      <xdr:row>14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6667500" y="8420100"/>
          <a:ext cx="247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8</xdr:row>
      <xdr:rowOff>228600</xdr:rowOff>
    </xdr:from>
    <xdr:to>
      <xdr:col>7</xdr:col>
      <xdr:colOff>1282700</xdr:colOff>
      <xdr:row>8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9194800" y="4610100"/>
          <a:ext cx="500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12</xdr:row>
      <xdr:rowOff>228600</xdr:rowOff>
    </xdr:from>
    <xdr:to>
      <xdr:col>7</xdr:col>
      <xdr:colOff>1358900</xdr:colOff>
      <xdr:row>12</xdr:row>
      <xdr:rowOff>546100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9169400" y="7150100"/>
          <a:ext cx="5105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C5CCC8-44D3-BE40-93A6-E4D829C7F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1206500</xdr:colOff>
      <xdr:row>6</xdr:row>
      <xdr:rowOff>279400</xdr:rowOff>
    </xdr:from>
    <xdr:to>
      <xdr:col>4</xdr:col>
      <xdr:colOff>1206500</xdr:colOff>
      <xdr:row>6</xdr:row>
      <xdr:rowOff>596899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C964F1-838B-204E-9E5A-CF69A164C550}"/>
            </a:ext>
          </a:extLst>
        </xdr:cNvPr>
        <xdr:cNvSpPr txBox="1"/>
      </xdr:nvSpPr>
      <xdr:spPr>
        <a:xfrm>
          <a:off x="1739900" y="3390900"/>
          <a:ext cx="495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1155700</xdr:colOff>
      <xdr:row>16</xdr:row>
      <xdr:rowOff>228600</xdr:rowOff>
    </xdr:from>
    <xdr:to>
      <xdr:col>5</xdr:col>
      <xdr:colOff>1104900</xdr:colOff>
      <xdr:row>16</xdr:row>
      <xdr:rowOff>546100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9189D3E-387D-D945-9279-CB7421133D2C}"/>
            </a:ext>
          </a:extLst>
        </xdr:cNvPr>
        <xdr:cNvSpPr txBox="1"/>
      </xdr:nvSpPr>
      <xdr:spPr>
        <a:xfrm>
          <a:off x="6642100" y="9690100"/>
          <a:ext cx="242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1104900</xdr:colOff>
      <xdr:row>16</xdr:row>
      <xdr:rowOff>228600</xdr:rowOff>
    </xdr:from>
    <xdr:to>
      <xdr:col>7</xdr:col>
      <xdr:colOff>1308100</xdr:colOff>
      <xdr:row>16</xdr:row>
      <xdr:rowOff>546100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BA94EEA-35F4-B949-B412-CFA3A3BB0789}"/>
            </a:ext>
          </a:extLst>
        </xdr:cNvPr>
        <xdr:cNvSpPr txBox="1"/>
      </xdr:nvSpPr>
      <xdr:spPr>
        <a:xfrm>
          <a:off x="9067800" y="9690100"/>
          <a:ext cx="5156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6</xdr:row>
      <xdr:rowOff>279400</xdr:rowOff>
    </xdr:from>
    <xdr:to>
      <xdr:col>2</xdr:col>
      <xdr:colOff>1219200</xdr:colOff>
      <xdr:row>6</xdr:row>
      <xdr:rowOff>596900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00DC8C-58D3-BA4D-B7A9-2BA8465448D3}"/>
            </a:ext>
          </a:extLst>
        </xdr:cNvPr>
        <xdr:cNvSpPr txBox="1"/>
      </xdr:nvSpPr>
      <xdr:spPr>
        <a:xfrm>
          <a:off x="533400" y="3390900"/>
          <a:ext cx="121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1244600</xdr:colOff>
      <xdr:row>6</xdr:row>
      <xdr:rowOff>279400</xdr:rowOff>
    </xdr:from>
    <xdr:to>
      <xdr:col>9</xdr:col>
      <xdr:colOff>0</xdr:colOff>
      <xdr:row>6</xdr:row>
      <xdr:rowOff>596899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AB0776E-5C89-ED48-BF14-F6A70121DF7E}"/>
            </a:ext>
          </a:extLst>
        </xdr:cNvPr>
        <xdr:cNvSpPr txBox="1"/>
      </xdr:nvSpPr>
      <xdr:spPr>
        <a:xfrm>
          <a:off x="9207500" y="3390900"/>
          <a:ext cx="8661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0</xdr:colOff>
      <xdr:row>8</xdr:row>
      <xdr:rowOff>228600</xdr:rowOff>
    </xdr:from>
    <xdr:to>
      <xdr:col>4</xdr:col>
      <xdr:colOff>1193800</xdr:colOff>
      <xdr:row>8</xdr:row>
      <xdr:rowOff>546099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E45D0F0-3AF2-2A47-B67C-E002DB12492B}"/>
            </a:ext>
          </a:extLst>
        </xdr:cNvPr>
        <xdr:cNvSpPr txBox="1"/>
      </xdr:nvSpPr>
      <xdr:spPr>
        <a:xfrm>
          <a:off x="533400" y="4610100"/>
          <a:ext cx="614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1282700</xdr:colOff>
      <xdr:row>8</xdr:row>
      <xdr:rowOff>228600</xdr:rowOff>
    </xdr:from>
    <xdr:to>
      <xdr:col>9</xdr:col>
      <xdr:colOff>0</xdr:colOff>
      <xdr:row>8</xdr:row>
      <xdr:rowOff>546100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895F7C-C5BC-E741-8D62-15B0EB5BFC37}"/>
            </a:ext>
          </a:extLst>
        </xdr:cNvPr>
        <xdr:cNvSpPr txBox="1"/>
      </xdr:nvSpPr>
      <xdr:spPr>
        <a:xfrm>
          <a:off x="14198600" y="4610100"/>
          <a:ext cx="367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2</xdr:col>
      <xdr:colOff>1295400</xdr:colOff>
      <xdr:row>10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70545AB-33FA-8445-B52B-A7B935149348}"/>
            </a:ext>
          </a:extLst>
        </xdr:cNvPr>
        <xdr:cNvSpPr txBox="1"/>
      </xdr:nvSpPr>
      <xdr:spPr>
        <a:xfrm>
          <a:off x="546100" y="5880100"/>
          <a:ext cx="128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4</xdr:col>
      <xdr:colOff>1155700</xdr:colOff>
      <xdr:row>12</xdr:row>
      <xdr:rowOff>546099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C5E32D6-3046-004C-9634-F8C7F4C031D4}"/>
            </a:ext>
          </a:extLst>
        </xdr:cNvPr>
        <xdr:cNvSpPr txBox="1"/>
      </xdr:nvSpPr>
      <xdr:spPr>
        <a:xfrm>
          <a:off x="546100" y="7150100"/>
          <a:ext cx="6096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5</xdr:col>
      <xdr:colOff>1193800</xdr:colOff>
      <xdr:row>10</xdr:row>
      <xdr:rowOff>228600</xdr:rowOff>
    </xdr:from>
    <xdr:to>
      <xdr:col>8</xdr:col>
      <xdr:colOff>2463800</xdr:colOff>
      <xdr:row>10</xdr:row>
      <xdr:rowOff>546099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73ED8B1-1851-B04D-ACC2-3F5D7B8B53A6}"/>
            </a:ext>
          </a:extLst>
        </xdr:cNvPr>
        <xdr:cNvSpPr txBox="1"/>
      </xdr:nvSpPr>
      <xdr:spPr>
        <a:xfrm>
          <a:off x="9156700" y="5880100"/>
          <a:ext cx="8699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1371600</xdr:colOff>
      <xdr:row>12</xdr:row>
      <xdr:rowOff>228600</xdr:rowOff>
    </xdr:from>
    <xdr:to>
      <xdr:col>9</xdr:col>
      <xdr:colOff>0</xdr:colOff>
      <xdr:row>12</xdr:row>
      <xdr:rowOff>546100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A3BD99D-4DDB-6A44-88D5-68490DE942DB}"/>
            </a:ext>
          </a:extLst>
        </xdr:cNvPr>
        <xdr:cNvSpPr txBox="1"/>
      </xdr:nvSpPr>
      <xdr:spPr>
        <a:xfrm>
          <a:off x="14287500" y="7150100"/>
          <a:ext cx="358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1181100</xdr:colOff>
      <xdr:row>14</xdr:row>
      <xdr:rowOff>228600</xdr:rowOff>
    </xdr:from>
    <xdr:to>
      <xdr:col>9</xdr:col>
      <xdr:colOff>0</xdr:colOff>
      <xdr:row>14</xdr:row>
      <xdr:rowOff>546099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756CD38-CA8E-114B-A595-33E5897EED7E}"/>
            </a:ext>
          </a:extLst>
        </xdr:cNvPr>
        <xdr:cNvSpPr txBox="1"/>
      </xdr:nvSpPr>
      <xdr:spPr>
        <a:xfrm>
          <a:off x="9144000" y="8420100"/>
          <a:ext cx="872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1</xdr:col>
      <xdr:colOff>254000</xdr:colOff>
      <xdr:row>14</xdr:row>
      <xdr:rowOff>228600</xdr:rowOff>
    </xdr:from>
    <xdr:to>
      <xdr:col>2</xdr:col>
      <xdr:colOff>1270000</xdr:colOff>
      <xdr:row>14</xdr:row>
      <xdr:rowOff>546100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1746317-01C5-3A41-A542-84EDAA586089}"/>
            </a:ext>
          </a:extLst>
        </xdr:cNvPr>
        <xdr:cNvSpPr txBox="1"/>
      </xdr:nvSpPr>
      <xdr:spPr>
        <a:xfrm>
          <a:off x="520700" y="8420100"/>
          <a:ext cx="128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1308100</xdr:colOff>
      <xdr:row>16</xdr:row>
      <xdr:rowOff>228600</xdr:rowOff>
    </xdr:from>
    <xdr:to>
      <xdr:col>9</xdr:col>
      <xdr:colOff>0</xdr:colOff>
      <xdr:row>16</xdr:row>
      <xdr:rowOff>546100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F8CD8FE-031F-6A4C-9F36-6860FEA7CFF7}"/>
            </a:ext>
          </a:extLst>
        </xdr:cNvPr>
        <xdr:cNvSpPr txBox="1"/>
      </xdr:nvSpPr>
      <xdr:spPr>
        <a:xfrm>
          <a:off x="14224000" y="9690100"/>
          <a:ext cx="364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228600</xdr:rowOff>
    </xdr:from>
    <xdr:to>
      <xdr:col>4</xdr:col>
      <xdr:colOff>1168400</xdr:colOff>
      <xdr:row>16</xdr:row>
      <xdr:rowOff>546099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29C6F6F-1BA3-1940-A14E-FC044505AC80}"/>
            </a:ext>
          </a:extLst>
        </xdr:cNvPr>
        <xdr:cNvSpPr txBox="1"/>
      </xdr:nvSpPr>
      <xdr:spPr>
        <a:xfrm>
          <a:off x="558800" y="9690100"/>
          <a:ext cx="6096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1193800</xdr:colOff>
      <xdr:row>8</xdr:row>
      <xdr:rowOff>215900</xdr:rowOff>
    </xdr:from>
    <xdr:to>
      <xdr:col>4</xdr:col>
      <xdr:colOff>1143000</xdr:colOff>
      <xdr:row>8</xdr:row>
      <xdr:rowOff>533399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727200" y="4597400"/>
          <a:ext cx="490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1155700</xdr:colOff>
      <xdr:row>12</xdr:row>
      <xdr:rowOff>215900</xdr:rowOff>
    </xdr:from>
    <xdr:to>
      <xdr:col>4</xdr:col>
      <xdr:colOff>1155700</xdr:colOff>
      <xdr:row>12</xdr:row>
      <xdr:rowOff>533399</xdr:rowOff>
    </xdr:to>
    <xdr:sp macro="" textlink="">
      <xdr:nvSpPr>
        <xdr:cNvPr id="10" name="TextBox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1689100" y="7137400"/>
          <a:ext cx="495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1143000</xdr:colOff>
      <xdr:row>8</xdr:row>
      <xdr:rowOff>215900</xdr:rowOff>
    </xdr:from>
    <xdr:to>
      <xdr:col>5</xdr:col>
      <xdr:colOff>1270000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6629400" y="4597400"/>
          <a:ext cx="2603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1130300</xdr:colOff>
      <xdr:row>10</xdr:row>
      <xdr:rowOff>215900</xdr:rowOff>
    </xdr:from>
    <xdr:to>
      <xdr:col>5</xdr:col>
      <xdr:colOff>1231900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6616700" y="5867400"/>
          <a:ext cx="2578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12</xdr:row>
      <xdr:rowOff>215900</xdr:rowOff>
    </xdr:from>
    <xdr:to>
      <xdr:col>5</xdr:col>
      <xdr:colOff>1193800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6642100" y="7137400"/>
          <a:ext cx="251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1193800</xdr:colOff>
      <xdr:row>14</xdr:row>
      <xdr:rowOff>215900</xdr:rowOff>
    </xdr:from>
    <xdr:to>
      <xdr:col>5</xdr:col>
      <xdr:colOff>1130300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6680200" y="8407400"/>
          <a:ext cx="241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4</xdr:col>
      <xdr:colOff>1155700</xdr:colOff>
      <xdr:row>6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533400" y="3302000"/>
          <a:ext cx="610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10</xdr:row>
      <xdr:rowOff>215900</xdr:rowOff>
    </xdr:from>
    <xdr:to>
      <xdr:col>7</xdr:col>
      <xdr:colOff>1206500</xdr:colOff>
      <xdr:row>10</xdr:row>
      <xdr:rowOff>533400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9194800" y="5867400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1130300</xdr:colOff>
      <xdr:row>14</xdr:row>
      <xdr:rowOff>215900</xdr:rowOff>
    </xdr:from>
    <xdr:to>
      <xdr:col>7</xdr:col>
      <xdr:colOff>1219200</xdr:colOff>
      <xdr:row>14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9093200" y="8407400"/>
          <a:ext cx="504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3F737F-BA49-AC4B-A6DE-621BA4A18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4</xdr:col>
      <xdr:colOff>1155700</xdr:colOff>
      <xdr:row>6</xdr:row>
      <xdr:rowOff>190500</xdr:rowOff>
    </xdr:from>
    <xdr:to>
      <xdr:col>5</xdr:col>
      <xdr:colOff>1270000</xdr:colOff>
      <xdr:row>6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3EE26B-AD06-AF4A-BE93-AD842DDC9AF3}"/>
            </a:ext>
          </a:extLst>
        </xdr:cNvPr>
        <xdr:cNvSpPr txBox="1"/>
      </xdr:nvSpPr>
      <xdr:spPr>
        <a:xfrm>
          <a:off x="6642100" y="3302000"/>
          <a:ext cx="2590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1168400</xdr:colOff>
      <xdr:row>16</xdr:row>
      <xdr:rowOff>215900</xdr:rowOff>
    </xdr:from>
    <xdr:ext cx="4940300" cy="317499"/>
    <xdr:sp macro="" textlink="">
      <xdr:nvSpPr>
        <xdr:cNvPr id="19" name="TextBox 6">
          <a:extLst>
            <a:ext uri="{FF2B5EF4-FFF2-40B4-BE49-F238E27FC236}">
              <a16:creationId xmlns:a16="http://schemas.microsoft.com/office/drawing/2014/main" id="{68D3A4CE-A6A0-BA4B-B616-CACF9FC9D48D}"/>
            </a:ext>
          </a:extLst>
        </xdr:cNvPr>
        <xdr:cNvSpPr txBox="1"/>
      </xdr:nvSpPr>
      <xdr:spPr>
        <a:xfrm>
          <a:off x="1701800" y="9677400"/>
          <a:ext cx="494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oneCellAnchor>
  <xdr:twoCellAnchor>
    <xdr:from>
      <xdr:col>4</xdr:col>
      <xdr:colOff>1168400</xdr:colOff>
      <xdr:row>16</xdr:row>
      <xdr:rowOff>215900</xdr:rowOff>
    </xdr:from>
    <xdr:to>
      <xdr:col>5</xdr:col>
      <xdr:colOff>1193800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AA501CA-CA00-D345-B86C-22618FBF81CB}"/>
            </a:ext>
          </a:extLst>
        </xdr:cNvPr>
        <xdr:cNvSpPr txBox="1"/>
      </xdr:nvSpPr>
      <xdr:spPr>
        <a:xfrm>
          <a:off x="6654800" y="9677400"/>
          <a:ext cx="250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5</xdr:col>
      <xdr:colOff>1282700</xdr:colOff>
      <xdr:row>6</xdr:row>
      <xdr:rowOff>190500</xdr:rowOff>
    </xdr:from>
    <xdr:to>
      <xdr:col>7</xdr:col>
      <xdr:colOff>1206500</xdr:colOff>
      <xdr:row>6</xdr:row>
      <xdr:rowOff>507999</xdr:rowOff>
    </xdr:to>
    <xdr:sp macro="" textlink="">
      <xdr:nvSpPr>
        <xdr:cNvPr id="2" name="TextBox 6">
          <a:extLst>
            <a:ext uri="{FF2B5EF4-FFF2-40B4-BE49-F238E27FC236}">
              <a16:creationId xmlns:a16="http://schemas.microsoft.com/office/drawing/2014/main" id="{4B5C4032-89AD-F94C-8765-111CC7F7B90C}"/>
            </a:ext>
          </a:extLst>
        </xdr:cNvPr>
        <xdr:cNvSpPr txBox="1"/>
      </xdr:nvSpPr>
      <xdr:spPr>
        <a:xfrm>
          <a:off x="9245600" y="3302000"/>
          <a:ext cx="487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1206500</xdr:colOff>
      <xdr:row>6</xdr:row>
      <xdr:rowOff>190500</xdr:rowOff>
    </xdr:from>
    <xdr:to>
      <xdr:col>9</xdr:col>
      <xdr:colOff>0</xdr:colOff>
      <xdr:row>6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33F8593-2454-1C47-A379-E10467A8A6BE}"/>
            </a:ext>
          </a:extLst>
        </xdr:cNvPr>
        <xdr:cNvSpPr txBox="1"/>
      </xdr:nvSpPr>
      <xdr:spPr>
        <a:xfrm>
          <a:off x="14122400" y="3302000"/>
          <a:ext cx="374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5</xdr:col>
      <xdr:colOff>1270000</xdr:colOff>
      <xdr:row>8</xdr:row>
      <xdr:rowOff>215900</xdr:rowOff>
    </xdr:from>
    <xdr:to>
      <xdr:col>8</xdr:col>
      <xdr:colOff>2463800</xdr:colOff>
      <xdr:row>8</xdr:row>
      <xdr:rowOff>533399</xdr:rowOff>
    </xdr:to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354EF2A9-732A-3041-B6C6-F1967590CFF8}"/>
            </a:ext>
          </a:extLst>
        </xdr:cNvPr>
        <xdr:cNvSpPr txBox="1"/>
      </xdr:nvSpPr>
      <xdr:spPr>
        <a:xfrm>
          <a:off x="9232900" y="4597400"/>
          <a:ext cx="8623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1</xdr:col>
      <xdr:colOff>254000</xdr:colOff>
      <xdr:row>8</xdr:row>
      <xdr:rowOff>215900</xdr:rowOff>
    </xdr:from>
    <xdr:to>
      <xdr:col>2</xdr:col>
      <xdr:colOff>1193800</xdr:colOff>
      <xdr:row>8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6AA13A4-7B16-AC47-88F9-BA781E688F9E}"/>
            </a:ext>
          </a:extLst>
        </xdr:cNvPr>
        <xdr:cNvSpPr txBox="1"/>
      </xdr:nvSpPr>
      <xdr:spPr>
        <a:xfrm>
          <a:off x="520700" y="4597400"/>
          <a:ext cx="120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25400</xdr:colOff>
      <xdr:row>10</xdr:row>
      <xdr:rowOff>215900</xdr:rowOff>
    </xdr:from>
    <xdr:to>
      <xdr:col>4</xdr:col>
      <xdr:colOff>1130300</xdr:colOff>
      <xdr:row>10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13593CDF-91EB-A24C-8342-F398238A9156}"/>
            </a:ext>
          </a:extLst>
        </xdr:cNvPr>
        <xdr:cNvSpPr txBox="1"/>
      </xdr:nvSpPr>
      <xdr:spPr>
        <a:xfrm>
          <a:off x="558800" y="5867400"/>
          <a:ext cx="6057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1206500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7C35C90-77D7-164F-9396-31FB2F758FE8}"/>
            </a:ext>
          </a:extLst>
        </xdr:cNvPr>
        <xdr:cNvSpPr txBox="1"/>
      </xdr:nvSpPr>
      <xdr:spPr>
        <a:xfrm>
          <a:off x="14122400" y="5867400"/>
          <a:ext cx="374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5</xdr:col>
      <xdr:colOff>1193800</xdr:colOff>
      <xdr:row>12</xdr:row>
      <xdr:rowOff>215900</xdr:rowOff>
    </xdr:from>
    <xdr:to>
      <xdr:col>9</xdr:col>
      <xdr:colOff>0</xdr:colOff>
      <xdr:row>12</xdr:row>
      <xdr:rowOff>533399</xdr:rowOff>
    </xdr:to>
    <xdr:sp macro="" textlink="">
      <xdr:nvSpPr>
        <xdr:cNvPr id="17" name="TextBox 6">
          <a:extLst>
            <a:ext uri="{FF2B5EF4-FFF2-40B4-BE49-F238E27FC236}">
              <a16:creationId xmlns:a16="http://schemas.microsoft.com/office/drawing/2014/main" id="{71E9FD4E-BCF3-5642-BA36-2B1DB5FA9A7E}"/>
            </a:ext>
          </a:extLst>
        </xdr:cNvPr>
        <xdr:cNvSpPr txBox="1"/>
      </xdr:nvSpPr>
      <xdr:spPr>
        <a:xfrm>
          <a:off x="9156700" y="7137400"/>
          <a:ext cx="871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12</xdr:row>
      <xdr:rowOff>215900</xdr:rowOff>
    </xdr:from>
    <xdr:to>
      <xdr:col>2</xdr:col>
      <xdr:colOff>1168400</xdr:colOff>
      <xdr:row>12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0D819A0-5F3A-FA40-ACCD-BC9F0074B919}"/>
            </a:ext>
          </a:extLst>
        </xdr:cNvPr>
        <xdr:cNvSpPr txBox="1"/>
      </xdr:nvSpPr>
      <xdr:spPr>
        <a:xfrm>
          <a:off x="546100" y="7137400"/>
          <a:ext cx="115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25400</xdr:colOff>
      <xdr:row>14</xdr:row>
      <xdr:rowOff>215900</xdr:rowOff>
    </xdr:from>
    <xdr:to>
      <xdr:col>4</xdr:col>
      <xdr:colOff>1193800</xdr:colOff>
      <xdr:row>14</xdr:row>
      <xdr:rowOff>533399</xdr:rowOff>
    </xdr:to>
    <xdr:sp macro="" textlink="">
      <xdr:nvSpPr>
        <xdr:cNvPr id="22" name="TextBox 6">
          <a:extLst>
            <a:ext uri="{FF2B5EF4-FFF2-40B4-BE49-F238E27FC236}">
              <a16:creationId xmlns:a16="http://schemas.microsoft.com/office/drawing/2014/main" id="{31EEA9F1-5BCC-884A-877D-DC612F59A390}"/>
            </a:ext>
          </a:extLst>
        </xdr:cNvPr>
        <xdr:cNvSpPr txBox="1"/>
      </xdr:nvSpPr>
      <xdr:spPr>
        <a:xfrm>
          <a:off x="558800" y="8407400"/>
          <a:ext cx="6121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1219200</xdr:colOff>
      <xdr:row>14</xdr:row>
      <xdr:rowOff>215900</xdr:rowOff>
    </xdr:from>
    <xdr:to>
      <xdr:col>9</xdr:col>
      <xdr:colOff>0</xdr:colOff>
      <xdr:row>14</xdr:row>
      <xdr:rowOff>533400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ACA6B40-CBE2-9249-B37B-2A0BDB439786}"/>
            </a:ext>
          </a:extLst>
        </xdr:cNvPr>
        <xdr:cNvSpPr txBox="1"/>
      </xdr:nvSpPr>
      <xdr:spPr>
        <a:xfrm>
          <a:off x="14135100" y="8407400"/>
          <a:ext cx="373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5</xdr:col>
      <xdr:colOff>1193800</xdr:colOff>
      <xdr:row>16</xdr:row>
      <xdr:rowOff>215900</xdr:rowOff>
    </xdr:from>
    <xdr:to>
      <xdr:col>9</xdr:col>
      <xdr:colOff>0</xdr:colOff>
      <xdr:row>16</xdr:row>
      <xdr:rowOff>533399</xdr:rowOff>
    </xdr:to>
    <xdr:sp macro="" textlink="">
      <xdr:nvSpPr>
        <xdr:cNvPr id="24" name="TextBox 6">
          <a:extLst>
            <a:ext uri="{FF2B5EF4-FFF2-40B4-BE49-F238E27FC236}">
              <a16:creationId xmlns:a16="http://schemas.microsoft.com/office/drawing/2014/main" id="{3F66532D-6428-B44B-9893-D02F99032FFC}"/>
            </a:ext>
          </a:extLst>
        </xdr:cNvPr>
        <xdr:cNvSpPr txBox="1"/>
      </xdr:nvSpPr>
      <xdr:spPr>
        <a:xfrm>
          <a:off x="9156700" y="9677400"/>
          <a:ext cx="871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2</xdr:col>
      <xdr:colOff>1181100</xdr:colOff>
      <xdr:row>16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81F5B9E-5AC6-174F-9B63-0E91281EADA5}"/>
            </a:ext>
          </a:extLst>
        </xdr:cNvPr>
        <xdr:cNvSpPr txBox="1"/>
      </xdr:nvSpPr>
      <xdr:spPr>
        <a:xfrm>
          <a:off x="546100" y="9677400"/>
          <a:ext cx="116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1181100</xdr:colOff>
      <xdr:row>8</xdr:row>
      <xdr:rowOff>215900</xdr:rowOff>
    </xdr:from>
    <xdr:to>
      <xdr:col>4</xdr:col>
      <xdr:colOff>1143000</xdr:colOff>
      <xdr:row>8</xdr:row>
      <xdr:rowOff>533399</xdr:rowOff>
    </xdr:to>
    <xdr:sp macro="" textlink="">
      <xdr:nvSpPr>
        <xdr:cNvPr id="13" name="TextBox 6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714500" y="4597400"/>
          <a:ext cx="491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1066800</xdr:colOff>
      <xdr:row>12</xdr:row>
      <xdr:rowOff>215900</xdr:rowOff>
    </xdr:from>
    <xdr:to>
      <xdr:col>4</xdr:col>
      <xdr:colOff>1168400</xdr:colOff>
      <xdr:row>12</xdr:row>
      <xdr:rowOff>533399</xdr:rowOff>
    </xdr:to>
    <xdr:sp macro="" textlink="">
      <xdr:nvSpPr>
        <xdr:cNvPr id="15" name="TextBox 6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1600200" y="7137400"/>
          <a:ext cx="5054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1117600</xdr:colOff>
      <xdr:row>6</xdr:row>
      <xdr:rowOff>215900</xdr:rowOff>
    </xdr:from>
    <xdr:to>
      <xdr:col>5</xdr:col>
      <xdr:colOff>1257300</xdr:colOff>
      <xdr:row>6</xdr:row>
      <xdr:rowOff>533400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6604000" y="3327400"/>
          <a:ext cx="2616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8</xdr:row>
      <xdr:rowOff>215900</xdr:rowOff>
    </xdr:from>
    <xdr:to>
      <xdr:col>5</xdr:col>
      <xdr:colOff>1231900</xdr:colOff>
      <xdr:row>8</xdr:row>
      <xdr:rowOff>533400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6642100" y="4597400"/>
          <a:ext cx="255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1130300</xdr:colOff>
      <xdr:row>10</xdr:row>
      <xdr:rowOff>215900</xdr:rowOff>
    </xdr:from>
    <xdr:to>
      <xdr:col>5</xdr:col>
      <xdr:colOff>1219200</xdr:colOff>
      <xdr:row>10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6616700" y="5867400"/>
          <a:ext cx="2565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12</xdr:row>
      <xdr:rowOff>215900</xdr:rowOff>
    </xdr:from>
    <xdr:to>
      <xdr:col>5</xdr:col>
      <xdr:colOff>1168400</xdr:colOff>
      <xdr:row>12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6642100" y="7137400"/>
          <a:ext cx="248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1143000</xdr:colOff>
      <xdr:row>14</xdr:row>
      <xdr:rowOff>215900</xdr:rowOff>
    </xdr:from>
    <xdr:to>
      <xdr:col>5</xdr:col>
      <xdr:colOff>1130300</xdr:colOff>
      <xdr:row>14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6629400" y="8407400"/>
          <a:ext cx="246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10</xdr:row>
      <xdr:rowOff>215900</xdr:rowOff>
    </xdr:from>
    <xdr:to>
      <xdr:col>7</xdr:col>
      <xdr:colOff>1358900</xdr:colOff>
      <xdr:row>10</xdr:row>
      <xdr:rowOff>533400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9182100" y="5867400"/>
          <a:ext cx="5092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6</xdr:row>
      <xdr:rowOff>215900</xdr:rowOff>
    </xdr:from>
    <xdr:to>
      <xdr:col>4</xdr:col>
      <xdr:colOff>1117600</xdr:colOff>
      <xdr:row>6</xdr:row>
      <xdr:rowOff>533400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533400" y="3327400"/>
          <a:ext cx="607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BEA4E-3FC9-344A-8068-A58CED2AB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5</xdr:col>
      <xdr:colOff>1130300</xdr:colOff>
      <xdr:row>14</xdr:row>
      <xdr:rowOff>215900</xdr:rowOff>
    </xdr:from>
    <xdr:to>
      <xdr:col>7</xdr:col>
      <xdr:colOff>1155700</xdr:colOff>
      <xdr:row>14</xdr:row>
      <xdr:rowOff>533400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E410EF-56A6-A540-83CE-90A93E1EE29E}"/>
            </a:ext>
          </a:extLst>
        </xdr:cNvPr>
        <xdr:cNvSpPr txBox="1"/>
      </xdr:nvSpPr>
      <xdr:spPr>
        <a:xfrm>
          <a:off x="9093200" y="8407400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1143000</xdr:colOff>
      <xdr:row>16</xdr:row>
      <xdr:rowOff>228600</xdr:rowOff>
    </xdr:from>
    <xdr:to>
      <xdr:col>5</xdr:col>
      <xdr:colOff>1219200</xdr:colOff>
      <xdr:row>16</xdr:row>
      <xdr:rowOff>546100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D41B2BD-C3BE-4C47-A7FC-C5C178676E44}"/>
            </a:ext>
          </a:extLst>
        </xdr:cNvPr>
        <xdr:cNvSpPr txBox="1"/>
      </xdr:nvSpPr>
      <xdr:spPr>
        <a:xfrm>
          <a:off x="6629400" y="9690100"/>
          <a:ext cx="255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1155700</xdr:colOff>
      <xdr:row>16</xdr:row>
      <xdr:rowOff>228600</xdr:rowOff>
    </xdr:from>
    <xdr:ext cx="4940299" cy="31749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4DF4BE6-6956-8D4E-99AD-490C07A46972}"/>
            </a:ext>
          </a:extLst>
        </xdr:cNvPr>
        <xdr:cNvSpPr txBox="1"/>
      </xdr:nvSpPr>
      <xdr:spPr>
        <a:xfrm>
          <a:off x="1689100" y="9690100"/>
          <a:ext cx="49402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5</xdr:col>
      <xdr:colOff>1270000</xdr:colOff>
      <xdr:row>6</xdr:row>
      <xdr:rowOff>215900</xdr:rowOff>
    </xdr:from>
    <xdr:to>
      <xdr:col>7</xdr:col>
      <xdr:colOff>1244600</xdr:colOff>
      <xdr:row>6</xdr:row>
      <xdr:rowOff>533400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B75C0B5-F1D1-0746-A96E-7A05F5D33B83}"/>
            </a:ext>
          </a:extLst>
        </xdr:cNvPr>
        <xdr:cNvSpPr txBox="1"/>
      </xdr:nvSpPr>
      <xdr:spPr>
        <a:xfrm>
          <a:off x="9232900" y="3327400"/>
          <a:ext cx="492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6</xdr:row>
      <xdr:rowOff>215900</xdr:rowOff>
    </xdr:from>
    <xdr:to>
      <xdr:col>9</xdr:col>
      <xdr:colOff>0</xdr:colOff>
      <xdr:row>6</xdr:row>
      <xdr:rowOff>533400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D8344E-0319-8F4F-B581-86E47010E321}"/>
            </a:ext>
          </a:extLst>
        </xdr:cNvPr>
        <xdr:cNvSpPr txBox="1"/>
      </xdr:nvSpPr>
      <xdr:spPr>
        <a:xfrm>
          <a:off x="14173200" y="3327400"/>
          <a:ext cx="369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8</xdr:row>
      <xdr:rowOff>215900</xdr:rowOff>
    </xdr:from>
    <xdr:to>
      <xdr:col>9</xdr:col>
      <xdr:colOff>0</xdr:colOff>
      <xdr:row>8</xdr:row>
      <xdr:rowOff>533400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A92BB5-338D-EF4B-B717-AE6B4EA8BEEB}"/>
            </a:ext>
          </a:extLst>
        </xdr:cNvPr>
        <xdr:cNvSpPr txBox="1"/>
      </xdr:nvSpPr>
      <xdr:spPr>
        <a:xfrm>
          <a:off x="9194800" y="4597400"/>
          <a:ext cx="867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25400</xdr:colOff>
      <xdr:row>10</xdr:row>
      <xdr:rowOff>215900</xdr:rowOff>
    </xdr:from>
    <xdr:to>
      <xdr:col>4</xdr:col>
      <xdr:colOff>1130300</xdr:colOff>
      <xdr:row>10</xdr:row>
      <xdr:rowOff>533399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57721AC-DA93-414D-BF5D-3892E3CD7DA2}"/>
            </a:ext>
          </a:extLst>
        </xdr:cNvPr>
        <xdr:cNvSpPr txBox="1"/>
      </xdr:nvSpPr>
      <xdr:spPr>
        <a:xfrm>
          <a:off x="558800" y="5867400"/>
          <a:ext cx="6057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8</xdr:row>
      <xdr:rowOff>215900</xdr:rowOff>
    </xdr:from>
    <xdr:to>
      <xdr:col>2</xdr:col>
      <xdr:colOff>1181100</xdr:colOff>
      <xdr:row>8</xdr:row>
      <xdr:rowOff>533400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911DFCF-ED00-8345-80D1-2BEFD6AD4E48}"/>
            </a:ext>
          </a:extLst>
        </xdr:cNvPr>
        <xdr:cNvSpPr txBox="1"/>
      </xdr:nvSpPr>
      <xdr:spPr>
        <a:xfrm>
          <a:off x="546100" y="4597400"/>
          <a:ext cx="116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1358900</xdr:colOff>
      <xdr:row>10</xdr:row>
      <xdr:rowOff>215900</xdr:rowOff>
    </xdr:from>
    <xdr:to>
      <xdr:col>9</xdr:col>
      <xdr:colOff>12700</xdr:colOff>
      <xdr:row>10</xdr:row>
      <xdr:rowOff>533400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270CF94-3132-164D-8024-5AED8B9581B2}"/>
            </a:ext>
          </a:extLst>
        </xdr:cNvPr>
        <xdr:cNvSpPr txBox="1"/>
      </xdr:nvSpPr>
      <xdr:spPr>
        <a:xfrm>
          <a:off x="14274800" y="5867400"/>
          <a:ext cx="360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16</xdr:row>
      <xdr:rowOff>228600</xdr:rowOff>
    </xdr:from>
    <xdr:to>
      <xdr:col>9</xdr:col>
      <xdr:colOff>0</xdr:colOff>
      <xdr:row>16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589865-7F6C-844E-9D13-5F7D915E68C0}"/>
            </a:ext>
          </a:extLst>
        </xdr:cNvPr>
        <xdr:cNvSpPr txBox="1"/>
      </xdr:nvSpPr>
      <xdr:spPr>
        <a:xfrm>
          <a:off x="9169400" y="9690100"/>
          <a:ext cx="869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215900</xdr:rowOff>
    </xdr:from>
    <xdr:to>
      <xdr:col>2</xdr:col>
      <xdr:colOff>1066800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868896D-D399-6A43-B324-5AF58BD9FA44}"/>
            </a:ext>
          </a:extLst>
        </xdr:cNvPr>
        <xdr:cNvSpPr txBox="1"/>
      </xdr:nvSpPr>
      <xdr:spPr>
        <a:xfrm>
          <a:off x="546100" y="7137400"/>
          <a:ext cx="105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25400</xdr:colOff>
      <xdr:row>14</xdr:row>
      <xdr:rowOff>215900</xdr:rowOff>
    </xdr:from>
    <xdr:to>
      <xdr:col>4</xdr:col>
      <xdr:colOff>1155700</xdr:colOff>
      <xdr:row>14</xdr:row>
      <xdr:rowOff>533399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8535266-D732-FB42-85F4-2E081F8A43E6}"/>
            </a:ext>
          </a:extLst>
        </xdr:cNvPr>
        <xdr:cNvSpPr txBox="1"/>
      </xdr:nvSpPr>
      <xdr:spPr>
        <a:xfrm>
          <a:off x="558800" y="8407400"/>
          <a:ext cx="6083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1155700</xdr:colOff>
      <xdr:row>14</xdr:row>
      <xdr:rowOff>215900</xdr:rowOff>
    </xdr:from>
    <xdr:to>
      <xdr:col>9</xdr:col>
      <xdr:colOff>12700</xdr:colOff>
      <xdr:row>14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FCFCEEE-ACA6-8249-817A-1B7ED421A1FF}"/>
            </a:ext>
          </a:extLst>
        </xdr:cNvPr>
        <xdr:cNvSpPr txBox="1"/>
      </xdr:nvSpPr>
      <xdr:spPr>
        <a:xfrm>
          <a:off x="14071600" y="8407400"/>
          <a:ext cx="381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228600</xdr:rowOff>
    </xdr:from>
    <xdr:to>
      <xdr:col>2</xdr:col>
      <xdr:colOff>1168400</xdr:colOff>
      <xdr:row>16</xdr:row>
      <xdr:rowOff>546100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534E5C3-E2DF-E34E-9659-45F296FAE573}"/>
            </a:ext>
          </a:extLst>
        </xdr:cNvPr>
        <xdr:cNvSpPr txBox="1"/>
      </xdr:nvSpPr>
      <xdr:spPr>
        <a:xfrm>
          <a:off x="546100" y="9690100"/>
          <a:ext cx="1155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1181100</xdr:colOff>
      <xdr:row>12</xdr:row>
      <xdr:rowOff>215900</xdr:rowOff>
    </xdr:from>
    <xdr:to>
      <xdr:col>8</xdr:col>
      <xdr:colOff>2463800</xdr:colOff>
      <xdr:row>12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043109D-39F8-234C-A8F2-126FBF568825}"/>
            </a:ext>
          </a:extLst>
        </xdr:cNvPr>
        <xdr:cNvSpPr txBox="1"/>
      </xdr:nvSpPr>
      <xdr:spPr>
        <a:xfrm>
          <a:off x="9144000" y="7137400"/>
          <a:ext cx="871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1244600</xdr:colOff>
      <xdr:row>8</xdr:row>
      <xdr:rowOff>215900</xdr:rowOff>
    </xdr:from>
    <xdr:to>
      <xdr:col>4</xdr:col>
      <xdr:colOff>1219200</xdr:colOff>
      <xdr:row>8</xdr:row>
      <xdr:rowOff>533399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1778000" y="4597400"/>
          <a:ext cx="492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 editAs="oneCell">
    <xdr:from>
      <xdr:col>2</xdr:col>
      <xdr:colOff>1104900</xdr:colOff>
      <xdr:row>12</xdr:row>
      <xdr:rowOff>215900</xdr:rowOff>
    </xdr:from>
    <xdr:to>
      <xdr:col>4</xdr:col>
      <xdr:colOff>1155700</xdr:colOff>
      <xdr:row>12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1638300" y="7137400"/>
          <a:ext cx="500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1181100</xdr:colOff>
      <xdr:row>6</xdr:row>
      <xdr:rowOff>254000</xdr:rowOff>
    </xdr:from>
    <xdr:to>
      <xdr:col>5</xdr:col>
      <xdr:colOff>1244600</xdr:colOff>
      <xdr:row>6</xdr:row>
      <xdr:rowOff>571500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6667500" y="3365500"/>
          <a:ext cx="2540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1231900</xdr:colOff>
      <xdr:row>8</xdr:row>
      <xdr:rowOff>215900</xdr:rowOff>
    </xdr:from>
    <xdr:to>
      <xdr:col>5</xdr:col>
      <xdr:colOff>1206500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6718300" y="4597400"/>
          <a:ext cx="245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1143000</xdr:colOff>
      <xdr:row>10</xdr:row>
      <xdr:rowOff>215900</xdr:rowOff>
    </xdr:from>
    <xdr:to>
      <xdr:col>5</xdr:col>
      <xdr:colOff>1219200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6629400" y="5867400"/>
          <a:ext cx="2552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12</xdr:row>
      <xdr:rowOff>215900</xdr:rowOff>
    </xdr:from>
    <xdr:to>
      <xdr:col>5</xdr:col>
      <xdr:colOff>1193800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6654800" y="7137400"/>
          <a:ext cx="250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14</xdr:row>
      <xdr:rowOff>215900</xdr:rowOff>
    </xdr:from>
    <xdr:to>
      <xdr:col>5</xdr:col>
      <xdr:colOff>1155700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6654800" y="8407400"/>
          <a:ext cx="246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254000</xdr:rowOff>
    </xdr:from>
    <xdr:to>
      <xdr:col>4</xdr:col>
      <xdr:colOff>1181100</xdr:colOff>
      <xdr:row>6</xdr:row>
      <xdr:rowOff>571500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546100" y="3365500"/>
          <a:ext cx="6121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10</xdr:row>
      <xdr:rowOff>215900</xdr:rowOff>
    </xdr:from>
    <xdr:to>
      <xdr:col>7</xdr:col>
      <xdr:colOff>1168400</xdr:colOff>
      <xdr:row>10</xdr:row>
      <xdr:rowOff>533400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9182100" y="5867400"/>
          <a:ext cx="490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0D5259-87E5-2D48-87B0-620CAEF9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oneCellAnchor>
    <xdr:from>
      <xdr:col>2</xdr:col>
      <xdr:colOff>1181100</xdr:colOff>
      <xdr:row>16</xdr:row>
      <xdr:rowOff>215900</xdr:rowOff>
    </xdr:from>
    <xdr:ext cx="5003800" cy="31749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21BBCD3-45F9-0945-AD2B-989E4925A17A}"/>
            </a:ext>
          </a:extLst>
        </xdr:cNvPr>
        <xdr:cNvSpPr txBox="1"/>
      </xdr:nvSpPr>
      <xdr:spPr>
        <a:xfrm>
          <a:off x="1714500" y="9677400"/>
          <a:ext cx="5003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5</xdr:col>
      <xdr:colOff>1168400</xdr:colOff>
      <xdr:row>14</xdr:row>
      <xdr:rowOff>215900</xdr:rowOff>
    </xdr:from>
    <xdr:to>
      <xdr:col>7</xdr:col>
      <xdr:colOff>1155700</xdr:colOff>
      <xdr:row>14</xdr:row>
      <xdr:rowOff>533400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078A55B-E142-D949-9917-E97D52B5DF51}"/>
            </a:ext>
          </a:extLst>
        </xdr:cNvPr>
        <xdr:cNvSpPr txBox="1"/>
      </xdr:nvSpPr>
      <xdr:spPr>
        <a:xfrm>
          <a:off x="9131300" y="84074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1219200</xdr:colOff>
      <xdr:row>16</xdr:row>
      <xdr:rowOff>215900</xdr:rowOff>
    </xdr:from>
    <xdr:to>
      <xdr:col>5</xdr:col>
      <xdr:colOff>1181100</xdr:colOff>
      <xdr:row>16</xdr:row>
      <xdr:rowOff>533400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AC43CB0-F68E-1F4D-93E9-AC35AA8DFFCC}"/>
            </a:ext>
          </a:extLst>
        </xdr:cNvPr>
        <xdr:cNvSpPr txBox="1"/>
      </xdr:nvSpPr>
      <xdr:spPr>
        <a:xfrm>
          <a:off x="6705600" y="9677400"/>
          <a:ext cx="243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6</xdr:row>
      <xdr:rowOff>254000</xdr:rowOff>
    </xdr:from>
    <xdr:to>
      <xdr:col>7</xdr:col>
      <xdr:colOff>1193800</xdr:colOff>
      <xdr:row>6</xdr:row>
      <xdr:rowOff>571500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06A220-80FC-1A40-B204-8DA8F8834AC4}"/>
            </a:ext>
          </a:extLst>
        </xdr:cNvPr>
        <xdr:cNvSpPr txBox="1"/>
      </xdr:nvSpPr>
      <xdr:spPr>
        <a:xfrm>
          <a:off x="9220200" y="3365500"/>
          <a:ext cx="4889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6</xdr:row>
      <xdr:rowOff>254000</xdr:rowOff>
    </xdr:from>
    <xdr:to>
      <xdr:col>9</xdr:col>
      <xdr:colOff>0</xdr:colOff>
      <xdr:row>6</xdr:row>
      <xdr:rowOff>571500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8753DF-E694-4B4D-A0DC-E0C77D2C1D3E}"/>
            </a:ext>
          </a:extLst>
        </xdr:cNvPr>
        <xdr:cNvSpPr txBox="1"/>
      </xdr:nvSpPr>
      <xdr:spPr>
        <a:xfrm>
          <a:off x="14109700" y="3365500"/>
          <a:ext cx="375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215900</xdr:rowOff>
    </xdr:from>
    <xdr:to>
      <xdr:col>2</xdr:col>
      <xdr:colOff>1257300</xdr:colOff>
      <xdr:row>8</xdr:row>
      <xdr:rowOff>533400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8CB2D31-2E27-D646-B029-DFF40CF77861}"/>
            </a:ext>
          </a:extLst>
        </xdr:cNvPr>
        <xdr:cNvSpPr txBox="1"/>
      </xdr:nvSpPr>
      <xdr:spPr>
        <a:xfrm>
          <a:off x="546100" y="4597400"/>
          <a:ext cx="124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5</xdr:col>
      <xdr:colOff>1219200</xdr:colOff>
      <xdr:row>8</xdr:row>
      <xdr:rowOff>215900</xdr:rowOff>
    </xdr:from>
    <xdr:to>
      <xdr:col>9</xdr:col>
      <xdr:colOff>0</xdr:colOff>
      <xdr:row>8</xdr:row>
      <xdr:rowOff>533399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0F4200-2E89-134E-AD40-94097D67A231}"/>
            </a:ext>
          </a:extLst>
        </xdr:cNvPr>
        <xdr:cNvSpPr txBox="1"/>
      </xdr:nvSpPr>
      <xdr:spPr>
        <a:xfrm>
          <a:off x="9182100" y="4597400"/>
          <a:ext cx="868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4</xdr:col>
      <xdr:colOff>1143000</xdr:colOff>
      <xdr:row>10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02B1BE8-82B7-A34F-9E75-B5B5B43D6BE8}"/>
            </a:ext>
          </a:extLst>
        </xdr:cNvPr>
        <xdr:cNvSpPr txBox="1"/>
      </xdr:nvSpPr>
      <xdr:spPr>
        <a:xfrm>
          <a:off x="546100" y="5867400"/>
          <a:ext cx="6083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30C0498-7A6C-E044-8A1F-47C18D138FF0}"/>
            </a:ext>
          </a:extLst>
        </xdr:cNvPr>
        <xdr:cNvSpPr txBox="1"/>
      </xdr:nvSpPr>
      <xdr:spPr>
        <a:xfrm>
          <a:off x="14084300" y="5867400"/>
          <a:ext cx="378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215900</xdr:rowOff>
    </xdr:from>
    <xdr:to>
      <xdr:col>2</xdr:col>
      <xdr:colOff>1117600</xdr:colOff>
      <xdr:row>12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FF9CFF6-62DF-BC4F-B240-10CB4DAB4BB2}"/>
            </a:ext>
          </a:extLst>
        </xdr:cNvPr>
        <xdr:cNvSpPr txBox="1"/>
      </xdr:nvSpPr>
      <xdr:spPr>
        <a:xfrm>
          <a:off x="533400" y="7137400"/>
          <a:ext cx="111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5</xdr:col>
      <xdr:colOff>1193800</xdr:colOff>
      <xdr:row>12</xdr:row>
      <xdr:rowOff>215900</xdr:rowOff>
    </xdr:from>
    <xdr:to>
      <xdr:col>8</xdr:col>
      <xdr:colOff>2451100</xdr:colOff>
      <xdr:row>12</xdr:row>
      <xdr:rowOff>533399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0EC6197-C389-044B-8D65-3445D26ECCAC}"/>
            </a:ext>
          </a:extLst>
        </xdr:cNvPr>
        <xdr:cNvSpPr txBox="1"/>
      </xdr:nvSpPr>
      <xdr:spPr>
        <a:xfrm>
          <a:off x="9156700" y="7137400"/>
          <a:ext cx="868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215900</xdr:rowOff>
    </xdr:from>
    <xdr:to>
      <xdr:col>4</xdr:col>
      <xdr:colOff>1168400</xdr:colOff>
      <xdr:row>14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AB60226-D276-D74A-83C3-2DFFB3223CAD}"/>
            </a:ext>
          </a:extLst>
        </xdr:cNvPr>
        <xdr:cNvSpPr txBox="1"/>
      </xdr:nvSpPr>
      <xdr:spPr>
        <a:xfrm>
          <a:off x="546100" y="8407400"/>
          <a:ext cx="610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14</xdr:row>
      <xdr:rowOff>215900</xdr:rowOff>
    </xdr:from>
    <xdr:to>
      <xdr:col>9</xdr:col>
      <xdr:colOff>0</xdr:colOff>
      <xdr:row>14</xdr:row>
      <xdr:rowOff>533400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5063A8B-F3D8-D440-9AD1-FA1B9290643F}"/>
            </a:ext>
          </a:extLst>
        </xdr:cNvPr>
        <xdr:cNvSpPr txBox="1"/>
      </xdr:nvSpPr>
      <xdr:spPr>
        <a:xfrm>
          <a:off x="14084300" y="8407400"/>
          <a:ext cx="378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215900</xdr:rowOff>
    </xdr:from>
    <xdr:to>
      <xdr:col>2</xdr:col>
      <xdr:colOff>1193800</xdr:colOff>
      <xdr:row>16</xdr:row>
      <xdr:rowOff>533400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87555DB-51D8-F946-ADC7-0E00F909EB22}"/>
            </a:ext>
          </a:extLst>
        </xdr:cNvPr>
        <xdr:cNvSpPr txBox="1"/>
      </xdr:nvSpPr>
      <xdr:spPr>
        <a:xfrm>
          <a:off x="546100" y="9677400"/>
          <a:ext cx="118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5</xdr:col>
      <xdr:colOff>1181100</xdr:colOff>
      <xdr:row>16</xdr:row>
      <xdr:rowOff>215900</xdr:rowOff>
    </xdr:from>
    <xdr:to>
      <xdr:col>9</xdr:col>
      <xdr:colOff>0</xdr:colOff>
      <xdr:row>16</xdr:row>
      <xdr:rowOff>533399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30E0848-1C0F-E74D-8E4F-F221B6FA4140}"/>
            </a:ext>
          </a:extLst>
        </xdr:cNvPr>
        <xdr:cNvSpPr txBox="1"/>
      </xdr:nvSpPr>
      <xdr:spPr>
        <a:xfrm>
          <a:off x="9144000" y="9677400"/>
          <a:ext cx="872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12700</xdr:colOff>
      <xdr:row>10</xdr:row>
      <xdr:rowOff>215900</xdr:rowOff>
    </xdr:from>
    <xdr:to>
      <xdr:col>2</xdr:col>
      <xdr:colOff>1155700</xdr:colOff>
      <xdr:row>10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546100" y="5867400"/>
          <a:ext cx="114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1168400</xdr:colOff>
      <xdr:row>14</xdr:row>
      <xdr:rowOff>241300</xdr:rowOff>
    </xdr:from>
    <xdr:to>
      <xdr:col>5</xdr:col>
      <xdr:colOff>1181100</xdr:colOff>
      <xdr:row>14</xdr:row>
      <xdr:rowOff>558800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/>
      </xdr:nvSpPr>
      <xdr:spPr>
        <a:xfrm>
          <a:off x="6654800" y="8432800"/>
          <a:ext cx="248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254000</xdr:rowOff>
    </xdr:from>
    <xdr:to>
      <xdr:col>4</xdr:col>
      <xdr:colOff>1231900</xdr:colOff>
      <xdr:row>8</xdr:row>
      <xdr:rowOff>571500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/>
      </xdr:nvSpPr>
      <xdr:spPr>
        <a:xfrm>
          <a:off x="546100" y="4635500"/>
          <a:ext cx="6172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215900</xdr:rowOff>
    </xdr:from>
    <xdr:to>
      <xdr:col>4</xdr:col>
      <xdr:colOff>1168400</xdr:colOff>
      <xdr:row>12</xdr:row>
      <xdr:rowOff>533400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/>
      </xdr:nvSpPr>
      <xdr:spPr>
        <a:xfrm>
          <a:off x="546100" y="7137400"/>
          <a:ext cx="6108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6E5DBB-EEE8-7344-9E45-1439C83F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</xdr:row>
      <xdr:rowOff>215900</xdr:rowOff>
    </xdr:from>
    <xdr:to>
      <xdr:col>2</xdr:col>
      <xdr:colOff>1244600</xdr:colOff>
      <xdr:row>6</xdr:row>
      <xdr:rowOff>533400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7EBF6D-8D83-2343-A71C-2F9246840A3E}"/>
            </a:ext>
          </a:extLst>
        </xdr:cNvPr>
        <xdr:cNvSpPr txBox="1"/>
      </xdr:nvSpPr>
      <xdr:spPr>
        <a:xfrm>
          <a:off x="533400" y="3327400"/>
          <a:ext cx="124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5</xdr:col>
      <xdr:colOff>1168400</xdr:colOff>
      <xdr:row>8</xdr:row>
      <xdr:rowOff>254000</xdr:rowOff>
    </xdr:from>
    <xdr:ext cx="4940300" cy="317499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DF414E9D-9F24-7E45-B346-02E8148B7E33}"/>
            </a:ext>
          </a:extLst>
        </xdr:cNvPr>
        <xdr:cNvSpPr txBox="1"/>
      </xdr:nvSpPr>
      <xdr:spPr>
        <a:xfrm>
          <a:off x="9131300" y="4635500"/>
          <a:ext cx="494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oneCellAnchor>
    <xdr:from>
      <xdr:col>2</xdr:col>
      <xdr:colOff>1143000</xdr:colOff>
      <xdr:row>14</xdr:row>
      <xdr:rowOff>241300</xdr:rowOff>
    </xdr:from>
    <xdr:ext cx="4978400" cy="31749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714F0F-5892-A347-B131-DDB47CF99345}"/>
            </a:ext>
          </a:extLst>
        </xdr:cNvPr>
        <xdr:cNvSpPr txBox="1"/>
      </xdr:nvSpPr>
      <xdr:spPr>
        <a:xfrm>
          <a:off x="1676400" y="8432800"/>
          <a:ext cx="497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oneCellAnchor>
  <xdr:twoCellAnchor>
    <xdr:from>
      <xdr:col>2</xdr:col>
      <xdr:colOff>25400</xdr:colOff>
      <xdr:row>16</xdr:row>
      <xdr:rowOff>215900</xdr:rowOff>
    </xdr:from>
    <xdr:to>
      <xdr:col>4</xdr:col>
      <xdr:colOff>1143000</xdr:colOff>
      <xdr:row>16</xdr:row>
      <xdr:rowOff>533400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11BA351-B1B2-EF4D-B28E-C62B10A7DEA5}"/>
            </a:ext>
          </a:extLst>
        </xdr:cNvPr>
        <xdr:cNvSpPr txBox="1"/>
      </xdr:nvSpPr>
      <xdr:spPr>
        <a:xfrm>
          <a:off x="558800" y="9677400"/>
          <a:ext cx="6070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6</xdr:row>
      <xdr:rowOff>215900</xdr:rowOff>
    </xdr:from>
    <xdr:to>
      <xdr:col>4</xdr:col>
      <xdr:colOff>1270000</xdr:colOff>
      <xdr:row>6</xdr:row>
      <xdr:rowOff>533400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36336-F1AD-8B4D-AFB2-2A9E9D21F08F}"/>
            </a:ext>
          </a:extLst>
        </xdr:cNvPr>
        <xdr:cNvSpPr txBox="1"/>
      </xdr:nvSpPr>
      <xdr:spPr>
        <a:xfrm>
          <a:off x="1778000" y="3327400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1270000</xdr:colOff>
      <xdr:row>6</xdr:row>
      <xdr:rowOff>215900</xdr:rowOff>
    </xdr:from>
    <xdr:to>
      <xdr:col>5</xdr:col>
      <xdr:colOff>1231900</xdr:colOff>
      <xdr:row>6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18D545F-6120-C146-8EAE-E7DAB25B801F}"/>
            </a:ext>
          </a:extLst>
        </xdr:cNvPr>
        <xdr:cNvSpPr txBox="1"/>
      </xdr:nvSpPr>
      <xdr:spPr>
        <a:xfrm>
          <a:off x="6756400" y="3327400"/>
          <a:ext cx="243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6</xdr:row>
      <xdr:rowOff>215900</xdr:rowOff>
    </xdr:from>
    <xdr:to>
      <xdr:col>9</xdr:col>
      <xdr:colOff>0</xdr:colOff>
      <xdr:row>6</xdr:row>
      <xdr:rowOff>533400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21E30B7-6E4D-2B49-8B98-09A8E552D9D1}"/>
            </a:ext>
          </a:extLst>
        </xdr:cNvPr>
        <xdr:cNvSpPr txBox="1"/>
      </xdr:nvSpPr>
      <xdr:spPr>
        <a:xfrm>
          <a:off x="9194800" y="3327400"/>
          <a:ext cx="867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1231900</xdr:colOff>
      <xdr:row>8</xdr:row>
      <xdr:rowOff>254000</xdr:rowOff>
    </xdr:from>
    <xdr:to>
      <xdr:col>5</xdr:col>
      <xdr:colOff>1168400</xdr:colOff>
      <xdr:row>8</xdr:row>
      <xdr:rowOff>571500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FEB7E3-8D27-7741-83F8-2D0350C22C73}"/>
            </a:ext>
          </a:extLst>
        </xdr:cNvPr>
        <xdr:cNvSpPr txBox="1"/>
      </xdr:nvSpPr>
      <xdr:spPr>
        <a:xfrm>
          <a:off x="6718300" y="4635500"/>
          <a:ext cx="241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1155700</xdr:colOff>
      <xdr:row>10</xdr:row>
      <xdr:rowOff>215900</xdr:rowOff>
    </xdr:from>
    <xdr:to>
      <xdr:col>4</xdr:col>
      <xdr:colOff>1143000</xdr:colOff>
      <xdr:row>10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D0C8DE0-F2E0-C944-9623-D8D1F9C8D82B}"/>
            </a:ext>
          </a:extLst>
        </xdr:cNvPr>
        <xdr:cNvSpPr txBox="1"/>
      </xdr:nvSpPr>
      <xdr:spPr>
        <a:xfrm>
          <a:off x="1689100" y="5867400"/>
          <a:ext cx="494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1155700</xdr:colOff>
      <xdr:row>10</xdr:row>
      <xdr:rowOff>215900</xdr:rowOff>
    </xdr:from>
    <xdr:to>
      <xdr:col>5</xdr:col>
      <xdr:colOff>1143000</xdr:colOff>
      <xdr:row>10</xdr:row>
      <xdr:rowOff>533400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BA06571-4F94-3047-9ECA-0B2E5C13BF29}"/>
            </a:ext>
          </a:extLst>
        </xdr:cNvPr>
        <xdr:cNvSpPr txBox="1"/>
      </xdr:nvSpPr>
      <xdr:spPr>
        <a:xfrm>
          <a:off x="6642100" y="5867400"/>
          <a:ext cx="246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5</xdr:col>
      <xdr:colOff>1155700</xdr:colOff>
      <xdr:row>10</xdr:row>
      <xdr:rowOff>215900</xdr:rowOff>
    </xdr:from>
    <xdr:to>
      <xdr:col>9</xdr:col>
      <xdr:colOff>12700</xdr:colOff>
      <xdr:row>10</xdr:row>
      <xdr:rowOff>533399</xdr:rowOff>
    </xdr:to>
    <xdr:sp macro="" textlink="">
      <xdr:nvSpPr>
        <xdr:cNvPr id="25" name="TextBox 6">
          <a:extLst>
            <a:ext uri="{FF2B5EF4-FFF2-40B4-BE49-F238E27FC236}">
              <a16:creationId xmlns:a16="http://schemas.microsoft.com/office/drawing/2014/main" id="{D185BE69-474A-A44F-B7EC-4338FD78BF9E}"/>
            </a:ext>
          </a:extLst>
        </xdr:cNvPr>
        <xdr:cNvSpPr txBox="1"/>
      </xdr:nvSpPr>
      <xdr:spPr>
        <a:xfrm>
          <a:off x="9118600" y="5867400"/>
          <a:ext cx="876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4</xdr:col>
      <xdr:colOff>1168400</xdr:colOff>
      <xdr:row>12</xdr:row>
      <xdr:rowOff>215900</xdr:rowOff>
    </xdr:from>
    <xdr:to>
      <xdr:col>5</xdr:col>
      <xdr:colOff>1181100</xdr:colOff>
      <xdr:row>12</xdr:row>
      <xdr:rowOff>533400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60912E8-3814-CE4F-BA26-DD0B84FCD4D8}"/>
            </a:ext>
          </a:extLst>
        </xdr:cNvPr>
        <xdr:cNvSpPr txBox="1"/>
      </xdr:nvSpPr>
      <xdr:spPr>
        <a:xfrm>
          <a:off x="6654800" y="7137400"/>
          <a:ext cx="248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1193800</xdr:colOff>
      <xdr:row>12</xdr:row>
      <xdr:rowOff>215900</xdr:rowOff>
    </xdr:from>
    <xdr:to>
      <xdr:col>7</xdr:col>
      <xdr:colOff>1219200</xdr:colOff>
      <xdr:row>12</xdr:row>
      <xdr:rowOff>533400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FE31A8F-B132-774C-A4F0-B315C24C258E}"/>
            </a:ext>
          </a:extLst>
        </xdr:cNvPr>
        <xdr:cNvSpPr txBox="1"/>
      </xdr:nvSpPr>
      <xdr:spPr>
        <a:xfrm>
          <a:off x="9156700" y="7137400"/>
          <a:ext cx="497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12</xdr:row>
      <xdr:rowOff>215900</xdr:rowOff>
    </xdr:from>
    <xdr:to>
      <xdr:col>9</xdr:col>
      <xdr:colOff>0</xdr:colOff>
      <xdr:row>12</xdr:row>
      <xdr:rowOff>533400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3D3BAB3-B56E-5142-BAD4-654A72EBE175}"/>
            </a:ext>
          </a:extLst>
        </xdr:cNvPr>
        <xdr:cNvSpPr txBox="1"/>
      </xdr:nvSpPr>
      <xdr:spPr>
        <a:xfrm>
          <a:off x="14147800" y="7137400"/>
          <a:ext cx="372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241300</xdr:rowOff>
    </xdr:from>
    <xdr:to>
      <xdr:col>2</xdr:col>
      <xdr:colOff>1143000</xdr:colOff>
      <xdr:row>14</xdr:row>
      <xdr:rowOff>558800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D4DD659-7ABD-B549-8E03-BE33156290CC}"/>
            </a:ext>
          </a:extLst>
        </xdr:cNvPr>
        <xdr:cNvSpPr txBox="1"/>
      </xdr:nvSpPr>
      <xdr:spPr>
        <a:xfrm>
          <a:off x="546100" y="8432800"/>
          <a:ext cx="1130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1181100</xdr:colOff>
      <xdr:row>14</xdr:row>
      <xdr:rowOff>241300</xdr:rowOff>
    </xdr:from>
    <xdr:to>
      <xdr:col>9</xdr:col>
      <xdr:colOff>12700</xdr:colOff>
      <xdr:row>14</xdr:row>
      <xdr:rowOff>558800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41EEEEB-1772-684E-BB79-E2A0396793CA}"/>
            </a:ext>
          </a:extLst>
        </xdr:cNvPr>
        <xdr:cNvSpPr txBox="1"/>
      </xdr:nvSpPr>
      <xdr:spPr>
        <a:xfrm>
          <a:off x="9144000" y="8432800"/>
          <a:ext cx="873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1143000</xdr:colOff>
      <xdr:row>16</xdr:row>
      <xdr:rowOff>215900</xdr:rowOff>
    </xdr:from>
    <xdr:to>
      <xdr:col>5</xdr:col>
      <xdr:colOff>1168400</xdr:colOff>
      <xdr:row>16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7F5C15E-A53F-354F-A955-65E2D9B55191}"/>
            </a:ext>
          </a:extLst>
        </xdr:cNvPr>
        <xdr:cNvSpPr txBox="1"/>
      </xdr:nvSpPr>
      <xdr:spPr>
        <a:xfrm>
          <a:off x="6629400" y="9677400"/>
          <a:ext cx="2501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1168400</xdr:colOff>
      <xdr:row>16</xdr:row>
      <xdr:rowOff>215900</xdr:rowOff>
    </xdr:from>
    <xdr:to>
      <xdr:col>7</xdr:col>
      <xdr:colOff>1206500</xdr:colOff>
      <xdr:row>16</xdr:row>
      <xdr:rowOff>533400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AA9A087-8374-8B49-A35D-D57BBCD225C9}"/>
            </a:ext>
          </a:extLst>
        </xdr:cNvPr>
        <xdr:cNvSpPr txBox="1"/>
      </xdr:nvSpPr>
      <xdr:spPr>
        <a:xfrm>
          <a:off x="9131300" y="9677400"/>
          <a:ext cx="499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8</xdr:row>
      <xdr:rowOff>254000</xdr:rowOff>
    </xdr:from>
    <xdr:to>
      <xdr:col>9</xdr:col>
      <xdr:colOff>0</xdr:colOff>
      <xdr:row>8</xdr:row>
      <xdr:rowOff>571500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7873B69-479C-B34A-9E8E-14D841F67FEC}"/>
            </a:ext>
          </a:extLst>
        </xdr:cNvPr>
        <xdr:cNvSpPr txBox="1"/>
      </xdr:nvSpPr>
      <xdr:spPr>
        <a:xfrm>
          <a:off x="14084300" y="4635500"/>
          <a:ext cx="3784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16</xdr:row>
      <xdr:rowOff>215900</xdr:rowOff>
    </xdr:from>
    <xdr:to>
      <xdr:col>9</xdr:col>
      <xdr:colOff>12700</xdr:colOff>
      <xdr:row>16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03C47A2-65B1-064C-A4A2-0403D980816E}"/>
            </a:ext>
          </a:extLst>
        </xdr:cNvPr>
        <xdr:cNvSpPr txBox="1"/>
      </xdr:nvSpPr>
      <xdr:spPr>
        <a:xfrm>
          <a:off x="14122400" y="9677400"/>
          <a:ext cx="3759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tabSelected="1" zoomScaleNormal="100" workbookViewId="0">
      <pane ySplit="5" topLeftCell="A10" activePane="bottomLeft" state="frozen"/>
      <selection pane="bottomLeft" activeCell="K17" sqref="K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43" t="s">
        <v>40</v>
      </c>
      <c r="D2" s="144"/>
      <c r="E2" s="144"/>
      <c r="F2" s="144"/>
      <c r="G2" s="144"/>
      <c r="H2" s="144"/>
      <c r="I2" s="145"/>
    </row>
    <row r="3" spans="2:9" s="8" customFormat="1" ht="20" customHeight="1" x14ac:dyDescent="0.15">
      <c r="C3" s="9" t="s">
        <v>0</v>
      </c>
      <c r="D3" s="106">
        <v>2025</v>
      </c>
      <c r="E3" s="11" t="s">
        <v>1</v>
      </c>
      <c r="F3" s="10" t="s">
        <v>2</v>
      </c>
      <c r="G3" s="12" t="s">
        <v>3</v>
      </c>
      <c r="H3" s="13"/>
      <c r="I3" s="14"/>
    </row>
    <row r="4" spans="2:9" ht="75" customHeight="1" x14ac:dyDescent="0.65">
      <c r="C4" s="108">
        <f>CalendarYear</f>
        <v>2025</v>
      </c>
      <c r="D4" s="149" t="s">
        <v>4</v>
      </c>
      <c r="E4" s="149"/>
      <c r="F4" s="149"/>
      <c r="G4" s="149"/>
      <c r="H4" s="149"/>
      <c r="I4" s="107"/>
    </row>
    <row r="5" spans="2:9" s="2" customFormat="1" ht="35" customHeight="1" x14ac:dyDescent="0.15">
      <c r="B5" s="67"/>
      <c r="C5" s="5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26" customFormat="1" ht="25" customHeight="1" x14ac:dyDescent="0.2">
      <c r="B6" s="62"/>
      <c r="C6" s="113">
        <f t="array" ref="C6:I6">DaysAndWeeks+DATE(CalendarYear,1,1)-WEEKDAY(DATE(CalendarYear,1,1),(WeekStart="M")+1)+1</f>
        <v>45655</v>
      </c>
      <c r="D6" s="21">
        <v>45656</v>
      </c>
      <c r="E6" s="21">
        <v>45657</v>
      </c>
      <c r="F6" s="17">
        <v>45658</v>
      </c>
      <c r="G6" s="111">
        <v>45659</v>
      </c>
      <c r="H6" s="17">
        <v>45660</v>
      </c>
      <c r="I6" s="18">
        <v>45661</v>
      </c>
    </row>
    <row r="7" spans="2:9" s="3" customFormat="1" ht="75" customHeight="1" x14ac:dyDescent="0.15">
      <c r="B7" s="60"/>
      <c r="C7" s="140">
        <v>0.625</v>
      </c>
      <c r="D7" s="140"/>
      <c r="E7" s="140">
        <v>0.625</v>
      </c>
      <c r="F7" s="120">
        <v>0.625</v>
      </c>
      <c r="G7" s="120"/>
      <c r="H7" s="102"/>
      <c r="I7" s="120"/>
    </row>
    <row r="8" spans="2:9" s="26" customFormat="1" ht="25" customHeight="1" x14ac:dyDescent="0.2">
      <c r="B8" s="62"/>
      <c r="C8" s="114">
        <f t="array" ref="C8:I8">DaysAndWeeks+DATE(CalendarYear,1,1)-WEEKDAY(DATE(CalendarYear,1,1),(WeekStart="M")+1)+8</f>
        <v>45662</v>
      </c>
      <c r="D8" s="110">
        <v>45663</v>
      </c>
      <c r="E8" s="110">
        <v>45664</v>
      </c>
      <c r="F8" s="110">
        <v>45665</v>
      </c>
      <c r="G8" s="16">
        <v>45666</v>
      </c>
      <c r="H8" s="17">
        <v>45667</v>
      </c>
      <c r="I8" s="18">
        <v>45668</v>
      </c>
    </row>
    <row r="9" spans="2:9" s="3" customFormat="1" ht="75" customHeight="1" x14ac:dyDescent="0.15">
      <c r="B9" s="60"/>
      <c r="C9" s="101"/>
      <c r="D9" s="120"/>
      <c r="E9" s="120">
        <v>0.625</v>
      </c>
      <c r="F9" s="120">
        <v>0.625</v>
      </c>
      <c r="G9" s="120"/>
      <c r="H9" s="120">
        <v>0.625</v>
      </c>
      <c r="I9" s="4"/>
    </row>
    <row r="10" spans="2:9" s="26" customFormat="1" ht="25" customHeight="1" x14ac:dyDescent="0.2">
      <c r="B10" s="62"/>
      <c r="C10" s="15">
        <f t="array" ref="C10:I10">DaysAndWeeks+DATE(CalendarYear,1,1)-WEEKDAY(DATE(CalendarYear,1,1),(WeekStart="M")+1)+15</f>
        <v>45669</v>
      </c>
      <c r="D10" s="16">
        <v>45670</v>
      </c>
      <c r="E10" s="16">
        <v>45671</v>
      </c>
      <c r="F10" s="16">
        <v>45672</v>
      </c>
      <c r="G10" s="19">
        <v>45673</v>
      </c>
      <c r="H10" s="20">
        <v>45674</v>
      </c>
      <c r="I10" s="18">
        <v>45675</v>
      </c>
    </row>
    <row r="11" spans="2:9" s="3" customFormat="1" ht="75" customHeight="1" x14ac:dyDescent="0.15">
      <c r="B11" s="60"/>
      <c r="C11" s="120">
        <v>0.625</v>
      </c>
      <c r="D11" s="120"/>
      <c r="E11" s="120">
        <v>0.625</v>
      </c>
      <c r="F11" s="120">
        <v>0.625</v>
      </c>
      <c r="G11" s="120"/>
      <c r="H11" s="102"/>
      <c r="I11" s="120"/>
    </row>
    <row r="12" spans="2:9" s="26" customFormat="1" ht="25" customHeight="1" x14ac:dyDescent="0.2">
      <c r="B12" s="62"/>
      <c r="C12" s="15">
        <f t="array" ref="C12:I12">DaysAndWeeks+DATE(CalendarYear,1,1)-WEEKDAY(DATE(CalendarYear,1,1),(WeekStart="M")+1)+22</f>
        <v>45676</v>
      </c>
      <c r="D12" s="16">
        <v>45677</v>
      </c>
      <c r="E12" s="16">
        <v>45678</v>
      </c>
      <c r="F12" s="16">
        <v>45679</v>
      </c>
      <c r="G12" s="16">
        <v>45680</v>
      </c>
      <c r="H12" s="17">
        <v>45681</v>
      </c>
      <c r="I12" s="18">
        <v>45682</v>
      </c>
    </row>
    <row r="13" spans="2:9" s="3" customFormat="1" ht="75" customHeight="1" x14ac:dyDescent="0.15">
      <c r="B13" s="60"/>
      <c r="C13" s="101"/>
      <c r="D13" s="120"/>
      <c r="E13" s="120"/>
      <c r="F13" s="120">
        <v>0.625</v>
      </c>
      <c r="H13" s="120">
        <v>0.625</v>
      </c>
      <c r="I13" s="4"/>
    </row>
    <row r="14" spans="2:9" s="26" customFormat="1" ht="25" customHeight="1" x14ac:dyDescent="0.2">
      <c r="B14" s="62"/>
      <c r="C14" s="15">
        <f t="array" ref="C14:I14">DaysAndWeeks+DATE(CalendarYear,1,1)-WEEKDAY(DATE(CalendarYear,1,1),(WeekStart="M")+1)+29</f>
        <v>45683</v>
      </c>
      <c r="D14" s="16">
        <v>45684</v>
      </c>
      <c r="E14" s="16">
        <v>45685</v>
      </c>
      <c r="F14" s="16">
        <v>45686</v>
      </c>
      <c r="G14" s="16">
        <v>45687</v>
      </c>
      <c r="H14" s="16">
        <v>45688</v>
      </c>
      <c r="I14" s="22">
        <v>45689</v>
      </c>
    </row>
    <row r="15" spans="2:9" s="3" customFormat="1" ht="75" customHeight="1" x14ac:dyDescent="0.15">
      <c r="B15" s="60"/>
      <c r="C15" s="120">
        <v>0.625</v>
      </c>
      <c r="D15" s="120"/>
      <c r="E15" s="120">
        <v>0.625</v>
      </c>
      <c r="F15" s="120">
        <v>0.625</v>
      </c>
      <c r="G15" s="121"/>
      <c r="H15" s="120"/>
      <c r="I15" s="112"/>
    </row>
    <row r="16" spans="2:9" s="26" customFormat="1" ht="25" customHeight="1" x14ac:dyDescent="0.2">
      <c r="B16" s="62"/>
      <c r="C16" s="113">
        <f t="array" ref="C16:I16">DaysAndWeeks+DATE(CalendarYear,1,1)-WEEKDAY(DATE(CalendarYear,1,1),(WeekStart="M")+1)+36</f>
        <v>45690</v>
      </c>
      <c r="D16" s="21">
        <v>45691</v>
      </c>
      <c r="E16" s="21">
        <v>45692</v>
      </c>
      <c r="F16" s="21">
        <v>45693</v>
      </c>
      <c r="G16" s="21">
        <v>45694</v>
      </c>
      <c r="H16" s="21">
        <v>45695</v>
      </c>
      <c r="I16" s="22">
        <v>45696</v>
      </c>
    </row>
    <row r="17" spans="2:9" s="3" customFormat="1" ht="75" customHeight="1" x14ac:dyDescent="0.15">
      <c r="B17" s="60"/>
      <c r="C17" s="140"/>
      <c r="D17" s="115"/>
      <c r="E17" s="140">
        <v>0.625</v>
      </c>
      <c r="F17" s="140">
        <v>0.625</v>
      </c>
      <c r="G17" s="140"/>
      <c r="H17" s="140">
        <v>0.625</v>
      </c>
      <c r="I17" s="140"/>
    </row>
    <row r="18" spans="2:9" ht="125" customHeight="1" thickBot="1" x14ac:dyDescent="0.2">
      <c r="B18" s="61"/>
      <c r="C18" s="146" t="s">
        <v>5</v>
      </c>
      <c r="D18" s="147"/>
      <c r="E18" s="147"/>
      <c r="F18" s="147"/>
      <c r="G18" s="147"/>
      <c r="H18" s="147"/>
      <c r="I18" s="148"/>
    </row>
    <row r="19" spans="2:9" ht="15" thickTop="1" x14ac:dyDescent="0.15">
      <c r="C19" s="3"/>
      <c r="D19" s="3"/>
      <c r="E19" s="3"/>
      <c r="F19" s="3"/>
      <c r="G19" s="3"/>
      <c r="H19" s="3"/>
      <c r="I19" s="3"/>
    </row>
    <row r="20" spans="2:9" x14ac:dyDescent="0.15">
      <c r="C20" s="3"/>
      <c r="D20" s="3"/>
      <c r="E20" s="3"/>
      <c r="F20" s="3"/>
      <c r="G20" s="3"/>
      <c r="H20" s="3"/>
      <c r="I20" s="3"/>
    </row>
    <row r="21" spans="2:9" ht="66" customHeight="1" x14ac:dyDescent="0.15">
      <c r="C21" s="3"/>
      <c r="D21" s="3"/>
      <c r="E21" s="3"/>
      <c r="F21" s="3"/>
      <c r="G21" s="3"/>
      <c r="H21" s="3"/>
      <c r="I21" s="3"/>
    </row>
    <row r="22" spans="2:9" ht="15" customHeight="1" x14ac:dyDescent="0.15">
      <c r="C22" s="3"/>
    </row>
  </sheetData>
  <dataConsolidate/>
  <mergeCells count="3">
    <mergeCell ref="C2:I2"/>
    <mergeCell ref="C18:I18"/>
    <mergeCell ref="D4:H4"/>
  </mergeCells>
  <conditionalFormatting sqref="C6:H6">
    <cfRule type="expression" dxfId="38" priority="6">
      <formula>DAY(C6)&gt;8</formula>
    </cfRule>
  </conditionalFormatting>
  <conditionalFormatting sqref="C8:H8">
    <cfRule type="expression" dxfId="37" priority="2">
      <formula>DAY(C8)&gt;8</formula>
    </cfRule>
  </conditionalFormatting>
  <conditionalFormatting sqref="C14:I14 C16:I16 C18">
    <cfRule type="expression" dxfId="36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6" activePane="bottomLeft" state="frozen"/>
      <selection pane="bottomLeft" activeCell="I15" sqref="I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66"/>
      <c r="D1" s="66"/>
      <c r="E1" s="66"/>
      <c r="F1" s="66"/>
      <c r="G1" s="66"/>
      <c r="H1" s="66"/>
      <c r="I1" s="66"/>
    </row>
    <row r="2" spans="2:9" ht="75" customHeight="1" thickTop="1" x14ac:dyDescent="0.15">
      <c r="B2" s="61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15">
      <c r="B3" s="61"/>
      <c r="C3" s="39"/>
      <c r="D3" s="24"/>
      <c r="E3" s="24"/>
      <c r="F3" s="24"/>
      <c r="G3" s="39" t="s">
        <v>6</v>
      </c>
      <c r="H3" s="39" t="s">
        <v>7</v>
      </c>
      <c r="I3" s="74"/>
    </row>
    <row r="4" spans="2:9" ht="75" customHeight="1" x14ac:dyDescent="0.65">
      <c r="B4" s="61"/>
      <c r="C4" s="108">
        <f>CalendarYear</f>
        <v>2025</v>
      </c>
      <c r="D4" s="150" t="s">
        <v>8</v>
      </c>
      <c r="E4" s="150"/>
      <c r="F4" s="150"/>
      <c r="G4" s="150"/>
      <c r="H4" s="150"/>
      <c r="I4" s="109"/>
    </row>
    <row r="5" spans="2:9" ht="35" customHeight="1" x14ac:dyDescent="0.15">
      <c r="B5" s="61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28" customFormat="1" ht="25" customHeight="1" x14ac:dyDescent="0.2">
      <c r="B6" s="64"/>
      <c r="C6" s="40">
        <f t="array" ref="C6:I6">DaysAndWeeks+DATE(CalendarYear,2,1)-WEEKDAY(DATE(CalendarYear,2,1),(WeekStart="M")+1)+1</f>
        <v>45683</v>
      </c>
      <c r="D6" s="33">
        <v>45684</v>
      </c>
      <c r="E6" s="29">
        <v>45685</v>
      </c>
      <c r="F6" s="29">
        <v>45686</v>
      </c>
      <c r="G6" s="29">
        <v>45687</v>
      </c>
      <c r="H6" s="29">
        <v>45688</v>
      </c>
      <c r="I6" s="94">
        <v>45689</v>
      </c>
    </row>
    <row r="7" spans="2:9" s="3" customFormat="1" ht="75" customHeight="1" x14ac:dyDescent="0.15">
      <c r="B7" s="60"/>
      <c r="C7" s="105">
        <v>0.625</v>
      </c>
      <c r="D7" s="105"/>
      <c r="E7" s="105" t="s">
        <v>39</v>
      </c>
      <c r="F7" s="105">
        <v>0.625</v>
      </c>
      <c r="G7" s="139"/>
      <c r="H7" s="105"/>
      <c r="I7" s="95"/>
    </row>
    <row r="8" spans="2:9" s="28" customFormat="1" ht="25" customHeight="1" x14ac:dyDescent="0.2">
      <c r="B8" s="64"/>
      <c r="C8" s="97">
        <f t="array" ref="C8:I8">DaysAndWeeks+DATE(CalendarYear,2,1)-WEEKDAY(DATE(CalendarYear,2,1),(WeekStart="M")+1)+8</f>
        <v>45690</v>
      </c>
      <c r="D8" s="93">
        <v>45691</v>
      </c>
      <c r="E8" s="96">
        <v>45692</v>
      </c>
      <c r="F8" s="96">
        <v>45693</v>
      </c>
      <c r="G8" s="96">
        <v>45694</v>
      </c>
      <c r="H8" s="96">
        <v>45695</v>
      </c>
      <c r="I8" s="94">
        <v>45696</v>
      </c>
    </row>
    <row r="9" spans="2:9" s="42" customFormat="1" ht="75" customHeight="1" x14ac:dyDescent="0.15">
      <c r="B9" s="69"/>
      <c r="C9" s="141"/>
      <c r="D9" s="141"/>
      <c r="E9" s="141">
        <v>0.625</v>
      </c>
      <c r="F9" s="141">
        <v>0.625</v>
      </c>
      <c r="G9" s="141"/>
      <c r="H9" s="104">
        <v>0.625</v>
      </c>
      <c r="I9" s="141"/>
    </row>
    <row r="10" spans="2:9" s="28" customFormat="1" ht="25" customHeight="1" x14ac:dyDescent="0.2">
      <c r="B10" s="64"/>
      <c r="C10" s="97">
        <f t="array" ref="C10:I10">DaysAndWeeks+DATE(CalendarYear,2,1)-WEEKDAY(DATE(CalendarYear,2,1),(WeekStart="M")+1)+15</f>
        <v>45697</v>
      </c>
      <c r="D10" s="93">
        <v>45698</v>
      </c>
      <c r="E10" s="93">
        <v>45699</v>
      </c>
      <c r="F10" s="93">
        <v>45700</v>
      </c>
      <c r="G10" s="93">
        <v>45701</v>
      </c>
      <c r="H10" s="93">
        <v>45702</v>
      </c>
      <c r="I10" s="94">
        <v>45703</v>
      </c>
    </row>
    <row r="11" spans="2:9" s="42" customFormat="1" ht="75" customHeight="1" x14ac:dyDescent="0.15">
      <c r="B11" s="69"/>
      <c r="C11" s="141">
        <v>0.625</v>
      </c>
      <c r="D11" s="104"/>
      <c r="E11" s="141">
        <v>0.625</v>
      </c>
      <c r="F11" s="141">
        <v>0.625</v>
      </c>
      <c r="H11" s="141"/>
      <c r="I11" s="70"/>
    </row>
    <row r="12" spans="2:9" s="26" customFormat="1" ht="25" customHeight="1" x14ac:dyDescent="0.2">
      <c r="B12" s="62"/>
      <c r="C12" s="97">
        <f t="array" ref="C12:I12">DaysAndWeeks+DATE(CalendarYear,2,1)-WEEKDAY(DATE(CalendarYear,2,1),(WeekStart="M")+1)+22</f>
        <v>45704</v>
      </c>
      <c r="D12" s="93">
        <v>45705</v>
      </c>
      <c r="E12" s="93">
        <v>45706</v>
      </c>
      <c r="F12" s="93">
        <v>45707</v>
      </c>
      <c r="G12" s="93">
        <v>45708</v>
      </c>
      <c r="H12" s="93">
        <v>45709</v>
      </c>
      <c r="I12" s="94">
        <v>45710</v>
      </c>
    </row>
    <row r="13" spans="2:9" s="42" customFormat="1" ht="75" customHeight="1" x14ac:dyDescent="0.15">
      <c r="B13" s="69"/>
      <c r="C13" s="141"/>
      <c r="D13" s="104"/>
      <c r="E13" s="104">
        <v>0.625</v>
      </c>
      <c r="F13" s="141">
        <v>0.625</v>
      </c>
      <c r="G13" s="141"/>
      <c r="H13" s="141">
        <v>0.625</v>
      </c>
      <c r="I13" s="141"/>
    </row>
    <row r="14" spans="2:9" s="26" customFormat="1" ht="25" customHeight="1" x14ac:dyDescent="0.2">
      <c r="B14" s="62"/>
      <c r="C14" s="97">
        <f t="array" ref="C14:I14">DaysAndWeeks+DATE(CalendarYear,2,1)-WEEKDAY(DATE(CalendarYear,2,1),(WeekStart="M")+1)+29</f>
        <v>45711</v>
      </c>
      <c r="D14" s="93">
        <v>45712</v>
      </c>
      <c r="E14" s="116">
        <v>45713</v>
      </c>
      <c r="F14" s="123">
        <v>45714</v>
      </c>
      <c r="G14" s="123">
        <v>45715</v>
      </c>
      <c r="H14" s="123">
        <v>45716</v>
      </c>
      <c r="I14" s="71">
        <v>45717</v>
      </c>
    </row>
    <row r="15" spans="2:9" s="42" customFormat="1" ht="75" customHeight="1" x14ac:dyDescent="0.15">
      <c r="B15" s="69"/>
      <c r="C15" s="141">
        <v>0.625</v>
      </c>
      <c r="D15" s="104"/>
      <c r="E15" s="141">
        <v>0.625</v>
      </c>
      <c r="F15" s="141">
        <v>0.625</v>
      </c>
      <c r="G15" s="122"/>
      <c r="H15" s="141"/>
      <c r="I15" s="72"/>
    </row>
    <row r="16" spans="2:9" s="26" customFormat="1" ht="25" customHeight="1" x14ac:dyDescent="0.2">
      <c r="B16" s="62"/>
      <c r="C16" s="68">
        <f t="array" ref="C16:I16">DaysAndWeeks+DATE(CalendarYear,2,1)-WEEKDAY(DATE(CalendarYear,2,1),(WeekStart="M")+1)+36</f>
        <v>45718</v>
      </c>
      <c r="D16" s="32">
        <v>45719</v>
      </c>
      <c r="E16" s="32">
        <v>45720</v>
      </c>
      <c r="F16" s="32">
        <v>45721</v>
      </c>
      <c r="G16" s="32">
        <v>45722</v>
      </c>
      <c r="H16" s="32">
        <v>45723</v>
      </c>
      <c r="I16" s="73">
        <v>45724</v>
      </c>
    </row>
    <row r="17" spans="2:9" s="3" customFormat="1" ht="75" customHeight="1" x14ac:dyDescent="0.15">
      <c r="B17" s="60"/>
      <c r="C17" s="142"/>
      <c r="D17" s="105"/>
      <c r="E17" s="105">
        <v>0.625</v>
      </c>
      <c r="F17" s="142">
        <v>0.625</v>
      </c>
      <c r="G17" s="142"/>
      <c r="H17" s="142">
        <v>0.625</v>
      </c>
      <c r="I17" s="142"/>
    </row>
    <row r="18" spans="2:9" ht="125" customHeight="1" thickBot="1" x14ac:dyDescent="0.2">
      <c r="B18" s="61"/>
      <c r="C18" s="146" t="s">
        <v>5</v>
      </c>
      <c r="D18" s="147"/>
      <c r="E18" s="147"/>
      <c r="F18" s="147"/>
      <c r="G18" s="147"/>
      <c r="H18" s="147"/>
      <c r="I18" s="148"/>
    </row>
    <row r="19" spans="2:9" ht="15" thickTop="1" x14ac:dyDescent="0.15">
      <c r="C19" s="3"/>
      <c r="D19" s="3"/>
      <c r="E19" s="3"/>
      <c r="F19" s="3"/>
      <c r="G19" s="3"/>
      <c r="H19" s="3"/>
      <c r="I19" s="3"/>
    </row>
    <row r="20" spans="2:9" x14ac:dyDescent="0.15">
      <c r="C20" s="3"/>
      <c r="D20" s="3"/>
      <c r="E20" s="3"/>
      <c r="F20" s="3"/>
      <c r="G20" s="3"/>
      <c r="H20" s="3"/>
      <c r="I20" s="3"/>
    </row>
    <row r="21" spans="2:9" ht="70" customHeight="1" x14ac:dyDescent="0.15">
      <c r="C21" s="3"/>
      <c r="D21" s="3"/>
      <c r="E21" s="3"/>
      <c r="F21" s="3"/>
      <c r="G21" s="3"/>
      <c r="H21" s="3"/>
      <c r="I21" s="3"/>
    </row>
    <row r="22" spans="2:9" x14ac:dyDescent="0.15">
      <c r="C22" s="3"/>
    </row>
  </sheetData>
  <mergeCells count="3">
    <mergeCell ref="C18:I18"/>
    <mergeCell ref="C2:I2"/>
    <mergeCell ref="D4:H4"/>
  </mergeCells>
  <conditionalFormatting sqref="C18">
    <cfRule type="expression" dxfId="35" priority="3">
      <formula>AND(DAY(C18)&gt;=1,DAY(C18)&lt;=15)</formula>
    </cfRule>
  </conditionalFormatting>
  <conditionalFormatting sqref="C6:D6">
    <cfRule type="expression" dxfId="34" priority="6">
      <formula>DAY(C6)&gt;8</formula>
    </cfRule>
  </conditionalFormatting>
  <conditionalFormatting sqref="C8:E8">
    <cfRule type="expression" dxfId="33" priority="4">
      <formula>DAY(C8)&gt;8</formula>
    </cfRule>
  </conditionalFormatting>
  <conditionalFormatting sqref="C14:I14 G15 I15 C16:I16">
    <cfRule type="expression" dxfId="32" priority="7">
      <formula>AND(DAY(C14)&gt;=1,DAY(C14)&lt;=15)</formula>
    </cfRule>
  </conditionalFormatting>
  <conditionalFormatting sqref="E6:I6">
    <cfRule type="expression" dxfId="31" priority="8">
      <formula>DAY(E6)&gt;8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8" activePane="bottomLeft" state="frozen"/>
      <selection pane="bottomLeft" activeCell="G9" sqref="G9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66"/>
      <c r="D1" s="66"/>
      <c r="E1" s="66"/>
      <c r="F1" s="66"/>
      <c r="G1" s="66"/>
      <c r="H1" s="66"/>
      <c r="I1" s="66"/>
    </row>
    <row r="2" spans="2:9" ht="75" customHeight="1" thickTop="1" x14ac:dyDescent="0.15">
      <c r="B2" s="61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15">
      <c r="B3" s="61"/>
      <c r="C3" s="25"/>
      <c r="D3" s="23"/>
      <c r="E3" s="23"/>
      <c r="F3" s="24"/>
      <c r="G3" s="39" t="s">
        <v>9</v>
      </c>
      <c r="H3" s="39" t="s">
        <v>10</v>
      </c>
      <c r="I3" s="78"/>
    </row>
    <row r="4" spans="2:9" ht="75" customHeight="1" x14ac:dyDescent="0.65">
      <c r="B4" s="61"/>
      <c r="C4" s="108">
        <f>CalendarYear</f>
        <v>2025</v>
      </c>
      <c r="D4" s="150" t="s">
        <v>11</v>
      </c>
      <c r="E4" s="150"/>
      <c r="F4" s="150"/>
      <c r="G4" s="150"/>
      <c r="H4" s="150"/>
      <c r="I4" s="109"/>
    </row>
    <row r="5" spans="2:9" ht="35" customHeight="1" x14ac:dyDescent="0.15">
      <c r="B5" s="61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26" customFormat="1" ht="25" customHeight="1" x14ac:dyDescent="0.2">
      <c r="B6" s="62"/>
      <c r="C6" s="50">
        <f t="array" ref="C6:I6">DaysAndWeeks+DATE(CalendarYear,3,1)-WEEKDAY(DATE(CalendarYear,3,1),(WeekStart="M")+1)+1</f>
        <v>45711</v>
      </c>
      <c r="D6" s="29">
        <v>45712</v>
      </c>
      <c r="E6" s="29">
        <v>45713</v>
      </c>
      <c r="F6" s="29">
        <v>45714</v>
      </c>
      <c r="G6" s="29">
        <v>45715</v>
      </c>
      <c r="H6" s="29">
        <v>45716</v>
      </c>
      <c r="I6" s="54">
        <v>45717</v>
      </c>
    </row>
    <row r="7" spans="2:9" s="42" customFormat="1" ht="75" customHeight="1" x14ac:dyDescent="0.15">
      <c r="B7" s="69"/>
      <c r="C7" s="105">
        <v>0.625</v>
      </c>
      <c r="D7" s="105"/>
      <c r="E7" s="105">
        <v>0.625</v>
      </c>
      <c r="F7" s="105">
        <v>0.625</v>
      </c>
      <c r="G7" s="125"/>
      <c r="H7" s="105"/>
      <c r="I7" s="70"/>
    </row>
    <row r="8" spans="2:9" s="26" customFormat="1" ht="25" customHeight="1" x14ac:dyDescent="0.2">
      <c r="B8" s="62"/>
      <c r="C8" s="30">
        <f t="array" ref="C8:I8">DaysAndWeeks+DATE(CalendarYear,3,1)-WEEKDAY(DATE(CalendarYear,3,1),(WeekStart="M")+1)+8</f>
        <v>45718</v>
      </c>
      <c r="D8" s="27">
        <v>45719</v>
      </c>
      <c r="E8" s="27">
        <v>45720</v>
      </c>
      <c r="F8" s="27">
        <v>45721</v>
      </c>
      <c r="G8" s="30">
        <v>45722</v>
      </c>
      <c r="H8" s="27">
        <v>45723</v>
      </c>
      <c r="I8" s="54">
        <v>45724</v>
      </c>
    </row>
    <row r="9" spans="2:9" s="42" customFormat="1" ht="75" customHeight="1" x14ac:dyDescent="0.15">
      <c r="B9" s="69"/>
      <c r="C9" s="134"/>
      <c r="D9" s="104"/>
      <c r="E9" s="104">
        <v>0.625</v>
      </c>
      <c r="F9" s="104">
        <v>0.625</v>
      </c>
      <c r="G9" s="134"/>
      <c r="H9" s="134">
        <v>0.625</v>
      </c>
      <c r="I9" s="134"/>
    </row>
    <row r="10" spans="2:9" s="26" customFormat="1" ht="25" customHeight="1" x14ac:dyDescent="0.2">
      <c r="B10" s="62"/>
      <c r="C10" s="30">
        <f t="array" ref="C10:I10">DaysAndWeeks+DATE(CalendarYear,3,1)-WEEKDAY(DATE(CalendarYear,3,1),(WeekStart="M")+1)+15</f>
        <v>45725</v>
      </c>
      <c r="D10" s="27">
        <v>45726</v>
      </c>
      <c r="E10" s="27">
        <v>45727</v>
      </c>
      <c r="F10" s="27">
        <v>45728</v>
      </c>
      <c r="G10" s="27">
        <v>45729</v>
      </c>
      <c r="H10" s="27">
        <v>45730</v>
      </c>
      <c r="I10" s="54">
        <v>45731</v>
      </c>
    </row>
    <row r="11" spans="2:9" s="42" customFormat="1" ht="75" customHeight="1" x14ac:dyDescent="0.15">
      <c r="B11" s="69"/>
      <c r="C11" s="134">
        <v>0.625</v>
      </c>
      <c r="D11" s="104"/>
      <c r="E11" s="134">
        <v>0.625</v>
      </c>
      <c r="F11" s="134">
        <v>0.625</v>
      </c>
      <c r="H11" s="134"/>
      <c r="I11" s="70"/>
    </row>
    <row r="12" spans="2:9" s="26" customFormat="1" ht="25" customHeight="1" x14ac:dyDescent="0.2">
      <c r="B12" s="62"/>
      <c r="C12" s="30">
        <f t="array" ref="C12:I12">DaysAndWeeks+DATE(CalendarYear,3,1)-WEEKDAY(DATE(CalendarYear,3,1),(WeekStart="M")+1)+22</f>
        <v>45732</v>
      </c>
      <c r="D12" s="27">
        <v>45733</v>
      </c>
      <c r="E12" s="27">
        <v>45734</v>
      </c>
      <c r="F12" s="27">
        <v>45735</v>
      </c>
      <c r="G12" s="27">
        <v>45736</v>
      </c>
      <c r="H12" s="31">
        <v>45737</v>
      </c>
      <c r="I12" s="75">
        <v>45738</v>
      </c>
    </row>
    <row r="13" spans="2:9" s="42" customFormat="1" ht="75" customHeight="1" x14ac:dyDescent="0.15">
      <c r="B13" s="69"/>
      <c r="C13" s="134"/>
      <c r="D13" s="104"/>
      <c r="E13" s="104">
        <v>0.625</v>
      </c>
      <c r="F13" s="134">
        <v>0.625</v>
      </c>
      <c r="G13" s="134"/>
      <c r="H13" s="134">
        <v>0.625</v>
      </c>
      <c r="I13" s="134"/>
    </row>
    <row r="14" spans="2:9" s="26" customFormat="1" ht="25" customHeight="1" x14ac:dyDescent="0.2">
      <c r="B14" s="62"/>
      <c r="C14" s="36">
        <f t="array" ref="C14:I14">DaysAndWeeks+DATE(CalendarYear,3,1)-WEEKDAY(DATE(CalendarYear,3,1),(WeekStart="M")+1)+29</f>
        <v>45739</v>
      </c>
      <c r="D14" s="27">
        <v>45740</v>
      </c>
      <c r="E14" s="27">
        <v>45741</v>
      </c>
      <c r="F14" s="27">
        <v>45742</v>
      </c>
      <c r="G14" s="36">
        <v>45743</v>
      </c>
      <c r="H14" s="97">
        <v>45744</v>
      </c>
      <c r="I14" s="126">
        <v>45745</v>
      </c>
    </row>
    <row r="15" spans="2:9" s="42" customFormat="1" ht="75" customHeight="1" x14ac:dyDescent="0.15">
      <c r="B15" s="69"/>
      <c r="C15" s="134">
        <v>0.625</v>
      </c>
      <c r="D15" s="104"/>
      <c r="E15" s="134">
        <v>0.625</v>
      </c>
      <c r="F15" s="134">
        <v>0.625</v>
      </c>
      <c r="H15" s="134"/>
      <c r="I15" s="127"/>
    </row>
    <row r="16" spans="2:9" s="26" customFormat="1" ht="25" customHeight="1" x14ac:dyDescent="0.2">
      <c r="B16" s="62"/>
      <c r="C16" s="128">
        <f t="array" ref="C16:I16">DaysAndWeeks+DATE(CalendarYear,3,1)-WEEKDAY(DATE(CalendarYear,3,1),(WeekStart="M")+1)+36</f>
        <v>45746</v>
      </c>
      <c r="D16" s="110">
        <v>45747</v>
      </c>
      <c r="E16" s="29">
        <v>45748</v>
      </c>
      <c r="F16" s="29">
        <v>45749</v>
      </c>
      <c r="G16" s="29">
        <v>45750</v>
      </c>
      <c r="H16" s="29">
        <v>45751</v>
      </c>
      <c r="I16" s="56">
        <v>45752</v>
      </c>
    </row>
    <row r="17" spans="2:9" s="3" customFormat="1" ht="75" customHeight="1" x14ac:dyDescent="0.15">
      <c r="B17" s="60"/>
      <c r="C17" s="134"/>
      <c r="D17" s="104"/>
      <c r="E17" s="105">
        <v>0.625</v>
      </c>
      <c r="F17" s="105">
        <v>0.625</v>
      </c>
      <c r="G17" s="105"/>
      <c r="H17" s="105">
        <v>0.625</v>
      </c>
      <c r="I17" s="105"/>
    </row>
    <row r="18" spans="2:9" ht="125" customHeight="1" thickBot="1" x14ac:dyDescent="0.2">
      <c r="B18" s="61"/>
      <c r="C18" s="146" t="s">
        <v>5</v>
      </c>
      <c r="D18" s="147"/>
      <c r="E18" s="147"/>
      <c r="F18" s="147"/>
      <c r="G18" s="147"/>
      <c r="H18" s="147"/>
      <c r="I18" s="148"/>
    </row>
    <row r="19" spans="2:9" ht="15" thickTop="1" x14ac:dyDescent="0.15">
      <c r="C19" s="3"/>
      <c r="D19" s="3"/>
      <c r="E19" s="3"/>
      <c r="F19" s="3"/>
      <c r="G19" s="3"/>
      <c r="H19" s="3"/>
      <c r="I19" s="3"/>
    </row>
    <row r="20" spans="2:9" x14ac:dyDescent="0.15">
      <c r="C20" s="3"/>
      <c r="D20" s="3"/>
      <c r="E20" s="3"/>
      <c r="F20" s="3"/>
      <c r="G20" s="3"/>
      <c r="H20" s="3"/>
      <c r="I20" s="3"/>
    </row>
    <row r="21" spans="2:9" ht="70" customHeight="1" x14ac:dyDescent="0.15">
      <c r="C21" s="3"/>
      <c r="D21" s="3"/>
      <c r="E21" s="3"/>
      <c r="F21" s="3"/>
      <c r="G21" s="3"/>
      <c r="H21" s="3"/>
      <c r="I21" s="3"/>
    </row>
  </sheetData>
  <mergeCells count="3">
    <mergeCell ref="C18:I18"/>
    <mergeCell ref="C2:I2"/>
    <mergeCell ref="D4:H4"/>
  </mergeCells>
  <conditionalFormatting sqref="C18">
    <cfRule type="expression" dxfId="30" priority="2">
      <formula>AND(DAY(C18)&gt;=1,DAY(C18)&lt;=15)</formula>
    </cfRule>
  </conditionalFormatting>
  <conditionalFormatting sqref="C6:H6">
    <cfRule type="expression" dxfId="29" priority="4">
      <formula>DAY(C6)&gt;8</formula>
    </cfRule>
  </conditionalFormatting>
  <conditionalFormatting sqref="C14:I14 I15 C16:I16">
    <cfRule type="expression" dxfId="28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7" activePane="bottomLeft" state="frozen"/>
      <selection pane="bottomLeft" activeCell="H15" sqref="H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66"/>
      <c r="D1" s="66"/>
      <c r="E1" s="66"/>
      <c r="F1" s="66"/>
      <c r="G1" s="66"/>
      <c r="H1" s="66"/>
      <c r="I1" s="66"/>
    </row>
    <row r="2" spans="2:9" ht="75" customHeight="1" thickTop="1" x14ac:dyDescent="0.15">
      <c r="B2" s="61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15">
      <c r="B3" s="61"/>
      <c r="C3" s="12"/>
      <c r="D3" s="12"/>
      <c r="E3" s="37"/>
      <c r="F3" s="37"/>
      <c r="G3" s="12" t="s">
        <v>12</v>
      </c>
      <c r="H3" s="12" t="s">
        <v>13</v>
      </c>
      <c r="I3" s="80"/>
    </row>
    <row r="4" spans="2:9" ht="75" customHeight="1" x14ac:dyDescent="0.65">
      <c r="B4" s="61"/>
      <c r="C4" s="108">
        <f>CalendarYear</f>
        <v>2025</v>
      </c>
      <c r="D4" s="154" t="s">
        <v>14</v>
      </c>
      <c r="E4" s="154"/>
      <c r="F4" s="154"/>
      <c r="G4" s="154"/>
      <c r="H4" s="154"/>
      <c r="I4" s="109"/>
    </row>
    <row r="5" spans="2:9" ht="35" customHeight="1" x14ac:dyDescent="0.15">
      <c r="B5" s="61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26" customFormat="1" ht="25" customHeight="1" x14ac:dyDescent="0.2">
      <c r="B6" s="62"/>
      <c r="C6" s="35">
        <f t="array" ref="C6:I6">DaysAndWeeks+DATE(CalendarYear,4,1)-WEEKDAY(DATE(CalendarYear,4,1),(WeekStart="M")+1)+1</f>
        <v>45746</v>
      </c>
      <c r="D6" s="29">
        <v>45747</v>
      </c>
      <c r="E6" s="110">
        <v>45748</v>
      </c>
      <c r="F6" s="110">
        <v>45749</v>
      </c>
      <c r="G6" s="110">
        <v>45750</v>
      </c>
      <c r="H6" s="110">
        <v>45751</v>
      </c>
      <c r="I6" s="54">
        <v>45752</v>
      </c>
    </row>
    <row r="7" spans="2:9" s="42" customFormat="1" ht="75" customHeight="1" x14ac:dyDescent="0.15">
      <c r="B7" s="69"/>
      <c r="C7" s="44"/>
      <c r="D7" s="129"/>
      <c r="E7" s="103">
        <v>0.625</v>
      </c>
      <c r="F7" s="103">
        <v>0.625</v>
      </c>
      <c r="G7" s="124"/>
      <c r="H7" s="103">
        <v>0.625</v>
      </c>
      <c r="I7" s="70"/>
    </row>
    <row r="8" spans="2:9" s="26" customFormat="1" ht="25" customHeight="1" x14ac:dyDescent="0.2">
      <c r="B8" s="62"/>
      <c r="C8" s="30">
        <f t="array" ref="C8:I8">DaysAndWeeks+DATE(CalendarYear,4,1)-WEEKDAY(DATE(CalendarYear,4,1),(WeekStart="M")+1)+8</f>
        <v>45753</v>
      </c>
      <c r="D8" s="27">
        <v>45754</v>
      </c>
      <c r="E8" s="27">
        <v>45755</v>
      </c>
      <c r="F8" s="27">
        <v>45756</v>
      </c>
      <c r="G8" s="27">
        <v>45757</v>
      </c>
      <c r="H8" s="27">
        <v>45758</v>
      </c>
      <c r="I8" s="54">
        <v>45759</v>
      </c>
    </row>
    <row r="9" spans="2:9" s="42" customFormat="1" ht="75" customHeight="1" x14ac:dyDescent="0.15">
      <c r="B9" s="69"/>
      <c r="C9" s="103">
        <v>0.625</v>
      </c>
      <c r="D9" s="103"/>
      <c r="E9" s="103">
        <v>0.625</v>
      </c>
      <c r="F9" s="103">
        <v>0.625</v>
      </c>
      <c r="H9" s="103"/>
      <c r="I9" s="70"/>
    </row>
    <row r="10" spans="2:9" s="26" customFormat="1" ht="25" customHeight="1" x14ac:dyDescent="0.2">
      <c r="B10" s="62"/>
      <c r="C10" s="30">
        <f t="array" ref="C10:I10">DaysAndWeeks+DATE(CalendarYear,4,1)-WEEKDAY(DATE(CalendarYear,4,1),(WeekStart="M")+1)+15</f>
        <v>45760</v>
      </c>
      <c r="D10" s="27">
        <v>45761</v>
      </c>
      <c r="E10" s="27">
        <v>45762</v>
      </c>
      <c r="F10" s="27">
        <v>45763</v>
      </c>
      <c r="G10" s="27">
        <v>45764</v>
      </c>
      <c r="H10" s="27">
        <v>45765</v>
      </c>
      <c r="I10" s="54">
        <v>45766</v>
      </c>
    </row>
    <row r="11" spans="2:9" s="42" customFormat="1" ht="75" customHeight="1" x14ac:dyDescent="0.15">
      <c r="B11" s="69"/>
      <c r="C11" s="103"/>
      <c r="D11" s="103"/>
      <c r="E11" s="103">
        <v>0.625</v>
      </c>
      <c r="F11" s="103">
        <v>0.625</v>
      </c>
      <c r="H11" s="103">
        <v>0.625</v>
      </c>
      <c r="I11" s="70"/>
    </row>
    <row r="12" spans="2:9" s="26" customFormat="1" ht="25" customHeight="1" x14ac:dyDescent="0.2">
      <c r="B12" s="62"/>
      <c r="C12" s="30">
        <f t="array" ref="C12:I12">DaysAndWeeks+DATE(CalendarYear,4,1)-WEEKDAY(DATE(CalendarYear,4,1),(WeekStart="M")+1)+22</f>
        <v>45767</v>
      </c>
      <c r="D12" s="27">
        <v>45768</v>
      </c>
      <c r="E12" s="27">
        <v>45769</v>
      </c>
      <c r="F12" s="27">
        <v>45770</v>
      </c>
      <c r="G12" s="27">
        <v>45771</v>
      </c>
      <c r="H12" s="27">
        <v>45772</v>
      </c>
      <c r="I12" s="54">
        <v>45773</v>
      </c>
    </row>
    <row r="13" spans="2:9" s="42" customFormat="1" ht="75" customHeight="1" x14ac:dyDescent="0.15">
      <c r="B13" s="69"/>
      <c r="C13" s="103">
        <v>0.625</v>
      </c>
      <c r="D13" s="103"/>
      <c r="E13" s="103">
        <v>0.625</v>
      </c>
      <c r="F13" s="103">
        <v>0.625</v>
      </c>
      <c r="H13" s="104"/>
      <c r="I13" s="70"/>
    </row>
    <row r="14" spans="2:9" s="26" customFormat="1" ht="25" customHeight="1" x14ac:dyDescent="0.2">
      <c r="B14" s="62"/>
      <c r="C14" s="30">
        <f t="array" ref="C14:I14">DaysAndWeeks+DATE(CalendarYear,4,1)-WEEKDAY(DATE(CalendarYear,4,1),(WeekStart="M")+1)+29</f>
        <v>45774</v>
      </c>
      <c r="D14" s="27">
        <v>45775</v>
      </c>
      <c r="E14" s="27">
        <v>45776</v>
      </c>
      <c r="F14" s="27">
        <v>45777</v>
      </c>
      <c r="G14" s="29">
        <v>45778</v>
      </c>
      <c r="H14" s="29">
        <v>45779</v>
      </c>
      <c r="I14" s="56">
        <v>45780</v>
      </c>
    </row>
    <row r="15" spans="2:9" s="42" customFormat="1" ht="75" customHeight="1" x14ac:dyDescent="0.15">
      <c r="B15" s="69"/>
      <c r="C15" s="103"/>
      <c r="D15" s="103"/>
      <c r="E15" s="103">
        <v>0.625</v>
      </c>
      <c r="F15" s="103">
        <v>0.625</v>
      </c>
      <c r="G15" s="125"/>
      <c r="H15" s="129">
        <v>0.625</v>
      </c>
      <c r="I15" s="76"/>
    </row>
    <row r="16" spans="2:9" s="26" customFormat="1" ht="25" customHeight="1" x14ac:dyDescent="0.2">
      <c r="B16" s="62"/>
      <c r="C16" s="130">
        <f t="array" ref="C16:I16">DaysAndWeeks+DATE(CalendarYear,4,1)-WEEKDAY(DATE(CalendarYear,4,1),(WeekStart="M")+1)+36</f>
        <v>45781</v>
      </c>
      <c r="D16" s="41">
        <v>45782</v>
      </c>
      <c r="E16" s="41">
        <v>45783</v>
      </c>
      <c r="F16" s="41">
        <v>45784</v>
      </c>
      <c r="G16" s="41">
        <v>45785</v>
      </c>
      <c r="H16" s="41">
        <v>45786</v>
      </c>
      <c r="I16" s="79">
        <v>45787</v>
      </c>
    </row>
    <row r="17" spans="2:9" s="3" customFormat="1" ht="75" customHeight="1" x14ac:dyDescent="0.15">
      <c r="B17" s="60"/>
      <c r="C17" s="129">
        <v>0.625</v>
      </c>
      <c r="D17" s="129"/>
      <c r="E17" s="129">
        <v>0.625</v>
      </c>
      <c r="F17" s="129">
        <v>0.625</v>
      </c>
      <c r="G17" s="34"/>
      <c r="H17" s="105"/>
      <c r="I17" s="77"/>
    </row>
    <row r="18" spans="2:9" ht="125" customHeight="1" thickBot="1" x14ac:dyDescent="0.2">
      <c r="B18" s="61"/>
      <c r="C18" s="151" t="s">
        <v>5</v>
      </c>
      <c r="D18" s="152"/>
      <c r="E18" s="152"/>
      <c r="F18" s="152"/>
      <c r="G18" s="152"/>
      <c r="H18" s="152"/>
      <c r="I18" s="153"/>
    </row>
    <row r="19" spans="2:9" ht="15" thickTop="1" x14ac:dyDescent="0.15">
      <c r="C19" s="3"/>
      <c r="D19" s="3"/>
      <c r="E19" s="3"/>
      <c r="F19" s="3"/>
      <c r="G19" s="3"/>
      <c r="H19" s="3"/>
      <c r="I19" s="3"/>
    </row>
    <row r="20" spans="2:9" x14ac:dyDescent="0.15">
      <c r="C20" s="3"/>
      <c r="D20" s="3"/>
      <c r="E20" s="3"/>
      <c r="F20" s="3"/>
      <c r="G20" s="3"/>
      <c r="H20" s="3"/>
      <c r="I20" s="3"/>
    </row>
    <row r="21" spans="2:9" ht="70" customHeight="1" x14ac:dyDescent="0.15">
      <c r="C21" s="3"/>
      <c r="D21" s="3"/>
      <c r="E21" s="3"/>
      <c r="F21" s="3"/>
      <c r="G21" s="3"/>
      <c r="H21" s="3"/>
      <c r="I21" s="3"/>
    </row>
  </sheetData>
  <mergeCells count="3">
    <mergeCell ref="C18:I18"/>
    <mergeCell ref="C2:I2"/>
    <mergeCell ref="D4:H4"/>
  </mergeCells>
  <conditionalFormatting sqref="C18">
    <cfRule type="expression" dxfId="27" priority="4">
      <formula>AND(DAY(C18)&gt;=1,DAY(C18)&lt;=15)</formula>
    </cfRule>
  </conditionalFormatting>
  <conditionalFormatting sqref="C6:H6">
    <cfRule type="expression" dxfId="26" priority="9">
      <formula>DAY(C6)&gt;8</formula>
    </cfRule>
  </conditionalFormatting>
  <conditionalFormatting sqref="C14:I14 I15 C16:I16 G17:I17">
    <cfRule type="expression" dxfId="25" priority="8">
      <formula>AND(DAY(C14)&gt;=1,DAY(C14)&lt;=15)</formula>
    </cfRule>
  </conditionalFormatting>
  <conditionalFormatting sqref="H13">
    <cfRule type="expression" dxfId="24" priority="6">
      <formula>AND(DAY(H13)&gt;=1,DAY(H13)&lt;=15)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11" activePane="bottomLeft" state="frozen"/>
      <selection pane="bottomLeft" activeCell="C17" sqref="C17:F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66"/>
      <c r="D1" s="66"/>
      <c r="E1" s="66"/>
      <c r="F1" s="66"/>
      <c r="G1" s="66"/>
      <c r="H1" s="66"/>
      <c r="I1" s="66"/>
    </row>
    <row r="2" spans="2:9" ht="75" customHeight="1" thickTop="1" x14ac:dyDescent="0.15">
      <c r="B2" s="61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3">
      <c r="B3" s="61"/>
      <c r="C3" s="45"/>
      <c r="D3" s="46"/>
      <c r="E3" s="46"/>
      <c r="F3" s="23"/>
      <c r="G3" s="12" t="s">
        <v>15</v>
      </c>
      <c r="H3" s="12" t="s">
        <v>16</v>
      </c>
      <c r="I3" s="65"/>
    </row>
    <row r="4" spans="2:9" ht="75" customHeight="1" x14ac:dyDescent="0.65">
      <c r="B4" s="61"/>
      <c r="C4" s="108">
        <f>CalendarYear</f>
        <v>2025</v>
      </c>
      <c r="D4" s="154" t="s">
        <v>17</v>
      </c>
      <c r="E4" s="154"/>
      <c r="F4" s="154"/>
      <c r="G4" s="154"/>
      <c r="H4" s="154"/>
      <c r="I4" s="109"/>
    </row>
    <row r="5" spans="2:9" ht="35" customHeight="1" x14ac:dyDescent="0.15">
      <c r="B5" s="61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28" customFormat="1" ht="25" customHeight="1" x14ac:dyDescent="0.2">
      <c r="B6" s="64"/>
      <c r="C6" s="50">
        <f t="array" ref="C6:I6">DaysAndWeeks+DATE(CalendarYear,5,1)-WEEKDAY(DATE(CalendarYear,5,1),(WeekStart="M")+1)+1</f>
        <v>45774</v>
      </c>
      <c r="D6" s="29">
        <v>45775</v>
      </c>
      <c r="E6" s="41">
        <v>45776</v>
      </c>
      <c r="F6" s="41">
        <v>45777</v>
      </c>
      <c r="G6" s="98">
        <v>45778</v>
      </c>
      <c r="H6" s="98">
        <v>45779</v>
      </c>
      <c r="I6" s="99">
        <v>45780</v>
      </c>
    </row>
    <row r="7" spans="2:9" s="42" customFormat="1" ht="75" customHeight="1" x14ac:dyDescent="0.15">
      <c r="B7" s="69"/>
      <c r="C7" s="117"/>
      <c r="D7" s="129"/>
      <c r="E7" s="129">
        <v>0.625</v>
      </c>
      <c r="F7" s="129">
        <v>0.625</v>
      </c>
      <c r="H7" s="103">
        <v>0.625</v>
      </c>
      <c r="I7" s="70"/>
    </row>
    <row r="8" spans="2:9" s="28" customFormat="1" ht="25" customHeight="1" x14ac:dyDescent="0.2">
      <c r="B8" s="64"/>
      <c r="C8" s="97">
        <f t="array" ref="C8:I8">DaysAndWeeks+DATE(CalendarYear,5,1)-WEEKDAY(DATE(CalendarYear,5,1),(WeekStart="M")+1)+8</f>
        <v>45781</v>
      </c>
      <c r="D8" s="93">
        <v>45782</v>
      </c>
      <c r="E8" s="93">
        <v>45783</v>
      </c>
      <c r="F8" s="93">
        <v>45784</v>
      </c>
      <c r="G8" s="93">
        <v>45785</v>
      </c>
      <c r="H8" s="93">
        <v>45786</v>
      </c>
      <c r="I8" s="94">
        <v>45787</v>
      </c>
    </row>
    <row r="9" spans="2:9" s="42" customFormat="1" ht="75" customHeight="1" x14ac:dyDescent="0.15">
      <c r="B9" s="69"/>
      <c r="C9" s="103">
        <v>0.625</v>
      </c>
      <c r="D9" s="103"/>
      <c r="E9" s="103">
        <v>0.625</v>
      </c>
      <c r="F9" s="103">
        <v>0.625</v>
      </c>
      <c r="H9" s="103"/>
      <c r="I9" s="70"/>
    </row>
    <row r="10" spans="2:9" s="28" customFormat="1" ht="25" customHeight="1" x14ac:dyDescent="0.2">
      <c r="B10" s="64"/>
      <c r="C10" s="97">
        <f t="array" ref="C10:I10">DaysAndWeeks+DATE(CalendarYear,5,1)-WEEKDAY(DATE(CalendarYear,5,1),(WeekStart="M")+1)+15</f>
        <v>45788</v>
      </c>
      <c r="D10" s="93">
        <v>45789</v>
      </c>
      <c r="E10" s="93">
        <v>45790</v>
      </c>
      <c r="F10" s="100">
        <v>45791</v>
      </c>
      <c r="G10" s="93">
        <v>45792</v>
      </c>
      <c r="H10" s="93">
        <v>45793</v>
      </c>
      <c r="I10" s="94">
        <v>45794</v>
      </c>
    </row>
    <row r="11" spans="2:9" s="42" customFormat="1" ht="75" customHeight="1" x14ac:dyDescent="0.15">
      <c r="B11" s="69"/>
      <c r="C11" s="103"/>
      <c r="D11" s="103"/>
      <c r="E11" s="103">
        <v>0.625</v>
      </c>
      <c r="F11" s="103">
        <v>0.625</v>
      </c>
      <c r="H11" s="103">
        <v>0.625</v>
      </c>
      <c r="I11" s="70"/>
    </row>
    <row r="12" spans="2:9" s="28" customFormat="1" ht="25" customHeight="1" x14ac:dyDescent="0.2">
      <c r="B12" s="64"/>
      <c r="C12" s="97">
        <f t="array" ref="C12:I12">DaysAndWeeks+DATE(CalendarYear,5,1)-WEEKDAY(DATE(CalendarYear,5,1),(WeekStart="M")+1)+22</f>
        <v>45795</v>
      </c>
      <c r="D12" s="93">
        <v>45796</v>
      </c>
      <c r="E12" s="93">
        <v>45797</v>
      </c>
      <c r="F12" s="93">
        <v>45798</v>
      </c>
      <c r="G12" s="93">
        <v>45799</v>
      </c>
      <c r="H12" s="93">
        <v>45800</v>
      </c>
      <c r="I12" s="94">
        <v>45801</v>
      </c>
    </row>
    <row r="13" spans="2:9" s="42" customFormat="1" ht="75" customHeight="1" x14ac:dyDescent="0.15">
      <c r="B13" s="69"/>
      <c r="C13" s="103">
        <v>0.625</v>
      </c>
      <c r="D13" s="103"/>
      <c r="E13" s="103">
        <v>0.625</v>
      </c>
      <c r="F13" s="103">
        <v>0.625</v>
      </c>
      <c r="H13" s="103"/>
      <c r="I13" s="70"/>
    </row>
    <row r="14" spans="2:9" s="28" customFormat="1" ht="25" customHeight="1" x14ac:dyDescent="0.2">
      <c r="B14" s="64"/>
      <c r="C14" s="97">
        <f t="array" ref="C14:I14">DaysAndWeeks+DATE(CalendarYear,5,1)-WEEKDAY(DATE(CalendarYear,5,1),(WeekStart="M")+1)+29</f>
        <v>45802</v>
      </c>
      <c r="D14" s="93">
        <v>45803</v>
      </c>
      <c r="E14" s="93">
        <v>45804</v>
      </c>
      <c r="F14" s="93">
        <v>45805</v>
      </c>
      <c r="G14" s="110">
        <v>45806</v>
      </c>
      <c r="H14" s="110">
        <v>45807</v>
      </c>
      <c r="I14" s="126">
        <v>45808</v>
      </c>
    </row>
    <row r="15" spans="2:9" s="42" customFormat="1" ht="75" customHeight="1" x14ac:dyDescent="0.15">
      <c r="B15" s="69"/>
      <c r="C15" s="103"/>
      <c r="D15" s="103"/>
      <c r="E15" s="103">
        <v>0.625</v>
      </c>
      <c r="F15" s="103">
        <v>0.625</v>
      </c>
      <c r="G15" s="122"/>
      <c r="H15" s="103">
        <v>0.625</v>
      </c>
      <c r="I15" s="127"/>
    </row>
    <row r="16" spans="2:9" s="26" customFormat="1" ht="25" customHeight="1" x14ac:dyDescent="0.2">
      <c r="B16" s="62"/>
      <c r="C16" s="35">
        <f t="array" ref="C16:I16">DaysAndWeeks+DATE(CalendarYear,5,1)-WEEKDAY(DATE(CalendarYear,5,1),(WeekStart="M")+1)+36</f>
        <v>45809</v>
      </c>
      <c r="D16" s="29">
        <v>45810</v>
      </c>
      <c r="E16" s="29">
        <v>45811</v>
      </c>
      <c r="F16" s="29">
        <v>45812</v>
      </c>
      <c r="G16" s="29">
        <v>45813</v>
      </c>
      <c r="H16" s="29">
        <v>45814</v>
      </c>
      <c r="I16" s="56">
        <v>45815</v>
      </c>
    </row>
    <row r="17" spans="2:9" ht="75" customHeight="1" x14ac:dyDescent="0.15">
      <c r="B17" s="61"/>
      <c r="C17" s="129">
        <v>0.625</v>
      </c>
      <c r="D17" s="129"/>
      <c r="E17" s="129">
        <v>0.625</v>
      </c>
      <c r="F17" s="129">
        <v>0.625</v>
      </c>
      <c r="G17" s="38"/>
      <c r="H17" s="129"/>
      <c r="I17" s="81"/>
    </row>
    <row r="18" spans="2:9" ht="125" customHeight="1" thickBot="1" x14ac:dyDescent="0.2">
      <c r="B18" s="61"/>
      <c r="C18" s="146" t="s">
        <v>5</v>
      </c>
      <c r="D18" s="147"/>
      <c r="E18" s="147"/>
      <c r="F18" s="147"/>
      <c r="G18" s="147"/>
      <c r="H18" s="147"/>
      <c r="I18" s="148"/>
    </row>
    <row r="19" spans="2:9" ht="15" thickTop="1" x14ac:dyDescent="0.15">
      <c r="C19" s="3"/>
      <c r="D19" s="3"/>
      <c r="E19" s="3"/>
      <c r="F19" s="3"/>
      <c r="G19" s="3"/>
      <c r="H19" s="3"/>
      <c r="I19" s="3"/>
    </row>
    <row r="20" spans="2:9" x14ac:dyDescent="0.15">
      <c r="C20" s="3"/>
      <c r="D20" s="3"/>
      <c r="E20" s="3"/>
      <c r="F20" s="3"/>
      <c r="G20" s="3"/>
      <c r="H20" s="3"/>
      <c r="I20" s="3"/>
    </row>
    <row r="21" spans="2:9" ht="70" customHeight="1" x14ac:dyDescent="0.15">
      <c r="C21" s="3"/>
      <c r="D21" s="3"/>
      <c r="E21" s="3"/>
      <c r="F21" s="3"/>
      <c r="G21" s="3"/>
      <c r="H21" s="3"/>
      <c r="I21" s="3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4 G15 I15 C16:I16 G17 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D14" sqref="D1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66"/>
      <c r="D1" s="66"/>
      <c r="E1" s="66"/>
      <c r="F1" s="66"/>
      <c r="G1" s="66"/>
      <c r="H1" s="66"/>
      <c r="I1" s="66"/>
    </row>
    <row r="2" spans="2:9" ht="75" customHeight="1" thickTop="1" x14ac:dyDescent="0.15">
      <c r="B2" s="61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3">
      <c r="B3" s="61"/>
      <c r="C3" s="45"/>
      <c r="D3" s="46"/>
      <c r="E3" s="46"/>
      <c r="F3" s="47"/>
      <c r="G3" s="12" t="s">
        <v>18</v>
      </c>
      <c r="H3" s="12" t="s">
        <v>19</v>
      </c>
      <c r="I3" s="65"/>
    </row>
    <row r="4" spans="2:9" ht="75" customHeight="1" x14ac:dyDescent="0.65">
      <c r="B4" s="61"/>
      <c r="C4" s="108">
        <f>CalendarYear</f>
        <v>2025</v>
      </c>
      <c r="D4" s="154" t="s">
        <v>20</v>
      </c>
      <c r="E4" s="154"/>
      <c r="F4" s="154"/>
      <c r="G4" s="154"/>
      <c r="H4" s="154"/>
      <c r="I4" s="109"/>
    </row>
    <row r="5" spans="2:9" ht="35" customHeight="1" x14ac:dyDescent="0.15">
      <c r="B5" s="61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26" customFormat="1" ht="25" customHeight="1" x14ac:dyDescent="0.2">
      <c r="B6" s="62"/>
      <c r="C6" s="128">
        <f t="array" ref="C6:I6">DaysAndWeeks+DATE(CalendarYear,6,1)-WEEKDAY(DATE(CalendarYear,6,1),(WeekStart="M")+1)+1</f>
        <v>45809</v>
      </c>
      <c r="D6" s="110">
        <v>45810</v>
      </c>
      <c r="E6" s="110">
        <v>45811</v>
      </c>
      <c r="F6" s="110">
        <v>45812</v>
      </c>
      <c r="G6" s="27">
        <v>45813</v>
      </c>
      <c r="H6" s="27">
        <v>45814</v>
      </c>
      <c r="I6" s="54">
        <v>45815</v>
      </c>
    </row>
    <row r="7" spans="2:9" s="52" customFormat="1" ht="75" customHeight="1" x14ac:dyDescent="0.15">
      <c r="B7" s="63"/>
      <c r="C7" s="103">
        <v>0.625</v>
      </c>
      <c r="D7" s="103"/>
      <c r="E7" s="103">
        <v>0.625</v>
      </c>
      <c r="F7" s="103">
        <v>0.625</v>
      </c>
      <c r="H7" s="103"/>
      <c r="I7" s="55"/>
    </row>
    <row r="8" spans="2:9" s="28" customFormat="1" ht="25" customHeight="1" x14ac:dyDescent="0.2">
      <c r="B8" s="64"/>
      <c r="C8" s="30">
        <f t="array" ref="C8:I8">DaysAndWeeks+DATE(CalendarYear,6,1)-WEEKDAY(DATE(CalendarYear,6,1),(WeekStart="M")+1)+8</f>
        <v>45816</v>
      </c>
      <c r="D8" s="27">
        <v>45817</v>
      </c>
      <c r="E8" s="27">
        <v>45818</v>
      </c>
      <c r="F8" s="27">
        <v>45819</v>
      </c>
      <c r="G8" s="27">
        <v>45820</v>
      </c>
      <c r="H8" s="27">
        <v>45821</v>
      </c>
      <c r="I8" s="54">
        <v>45822</v>
      </c>
    </row>
    <row r="9" spans="2:9" s="52" customFormat="1" ht="75" customHeight="1" x14ac:dyDescent="0.15">
      <c r="B9" s="63"/>
      <c r="C9" s="103"/>
      <c r="D9" s="103"/>
      <c r="E9" s="103">
        <v>0.625</v>
      </c>
      <c r="F9" s="103">
        <v>0.625</v>
      </c>
      <c r="H9" s="103">
        <v>0.625</v>
      </c>
      <c r="I9" s="55"/>
    </row>
    <row r="10" spans="2:9" s="28" customFormat="1" ht="25" customHeight="1" x14ac:dyDescent="0.2">
      <c r="B10" s="64"/>
      <c r="C10" s="30">
        <f t="array" ref="C10:I10">DaysAndWeeks+DATE(CalendarYear,6,1)-WEEKDAY(DATE(CalendarYear,6,1),(WeekStart="M")+1)+15</f>
        <v>45823</v>
      </c>
      <c r="D10" s="27">
        <v>45824</v>
      </c>
      <c r="E10" s="27">
        <v>45825</v>
      </c>
      <c r="F10" s="27">
        <v>45826</v>
      </c>
      <c r="G10" s="27">
        <v>45827</v>
      </c>
      <c r="H10" s="27">
        <v>45828</v>
      </c>
      <c r="I10" s="54">
        <v>45829</v>
      </c>
    </row>
    <row r="11" spans="2:9" s="52" customFormat="1" ht="75" customHeight="1" x14ac:dyDescent="0.15">
      <c r="B11" s="63"/>
      <c r="C11" s="103">
        <v>0.625</v>
      </c>
      <c r="D11" s="103"/>
      <c r="E11" s="103">
        <v>0.625</v>
      </c>
      <c r="F11" s="103">
        <v>0.625</v>
      </c>
      <c r="H11" s="103"/>
      <c r="I11" s="55"/>
    </row>
    <row r="12" spans="2:9" s="28" customFormat="1" ht="25" customHeight="1" x14ac:dyDescent="0.2">
      <c r="B12" s="64"/>
      <c r="C12" s="30">
        <f t="array" ref="C12:I12">DaysAndWeeks+DATE(CalendarYear,6,1)-WEEKDAY(DATE(CalendarYear,6,1),(WeekStart="M")+1)+22</f>
        <v>45830</v>
      </c>
      <c r="D12" s="27">
        <v>45831</v>
      </c>
      <c r="E12" s="27">
        <v>45832</v>
      </c>
      <c r="F12" s="27">
        <v>45833</v>
      </c>
      <c r="G12" s="27">
        <v>45834</v>
      </c>
      <c r="H12" s="27">
        <v>45835</v>
      </c>
      <c r="I12" s="54">
        <v>45836</v>
      </c>
    </row>
    <row r="13" spans="2:9" s="52" customFormat="1" ht="75" customHeight="1" x14ac:dyDescent="0.15">
      <c r="B13" s="63"/>
      <c r="C13" s="103"/>
      <c r="D13" s="103"/>
      <c r="E13" s="103">
        <v>0.625</v>
      </c>
      <c r="F13" s="103">
        <v>0.625</v>
      </c>
      <c r="H13" s="103">
        <v>0.625</v>
      </c>
      <c r="I13" s="55"/>
    </row>
    <row r="14" spans="2:9" s="28" customFormat="1" ht="25" customHeight="1" x14ac:dyDescent="0.2">
      <c r="B14" s="64"/>
      <c r="C14" s="30">
        <f t="array" ref="C14:I14">DaysAndWeeks+DATE(CalendarYear,6,1)-WEEKDAY(DATE(CalendarYear,6,1),(WeekStart="M")+1)+29</f>
        <v>45837</v>
      </c>
      <c r="D14" s="27">
        <v>45838</v>
      </c>
      <c r="E14" s="29">
        <v>45839</v>
      </c>
      <c r="F14" s="29">
        <v>45840</v>
      </c>
      <c r="G14" s="29">
        <v>45841</v>
      </c>
      <c r="H14" s="29">
        <v>45842</v>
      </c>
      <c r="I14" s="56">
        <v>45843</v>
      </c>
    </row>
    <row r="15" spans="2:9" s="52" customFormat="1" ht="75" customHeight="1" x14ac:dyDescent="0.15">
      <c r="B15" s="63"/>
      <c r="C15" s="103">
        <v>0.625</v>
      </c>
      <c r="D15" s="103"/>
      <c r="E15" s="129">
        <v>0.625</v>
      </c>
      <c r="F15" s="129">
        <v>0.625</v>
      </c>
      <c r="G15" s="131"/>
      <c r="H15" s="129"/>
      <c r="I15" s="57"/>
    </row>
    <row r="16" spans="2:9" s="26" customFormat="1" ht="25" customHeight="1" x14ac:dyDescent="0.2">
      <c r="B16" s="62"/>
      <c r="C16" s="35">
        <f t="array" ref="C16:I16">DaysAndWeeks+DATE(CalendarYear,6,1)-WEEKDAY(DATE(CalendarYear,6,1),(WeekStart="M")+1)+36</f>
        <v>45844</v>
      </c>
      <c r="D16" s="29">
        <v>45845</v>
      </c>
      <c r="E16" s="29">
        <v>45846</v>
      </c>
      <c r="F16" s="29">
        <v>45847</v>
      </c>
      <c r="G16" s="29">
        <v>45848</v>
      </c>
      <c r="H16" s="29">
        <v>45849</v>
      </c>
      <c r="I16" s="56">
        <v>45850</v>
      </c>
    </row>
    <row r="17" spans="2:9" s="26" customFormat="1" ht="75" customHeight="1" x14ac:dyDescent="0.2">
      <c r="B17" s="62"/>
      <c r="C17" s="58"/>
      <c r="D17" s="129"/>
      <c r="E17" s="129">
        <v>0.625</v>
      </c>
      <c r="F17" s="129">
        <v>0.625</v>
      </c>
      <c r="G17" s="49"/>
      <c r="H17" s="129">
        <v>0.625</v>
      </c>
      <c r="I17" s="59"/>
    </row>
    <row r="18" spans="2:9" ht="125" customHeight="1" thickBot="1" x14ac:dyDescent="0.2">
      <c r="B18" s="61"/>
      <c r="C18" s="151" t="s">
        <v>5</v>
      </c>
      <c r="D18" s="152"/>
      <c r="E18" s="152"/>
      <c r="F18" s="152"/>
      <c r="G18" s="152"/>
      <c r="H18" s="152"/>
      <c r="I18" s="153"/>
    </row>
    <row r="19" spans="2:9" ht="15" thickTop="1" x14ac:dyDescent="0.15">
      <c r="C19" s="3"/>
      <c r="D19" s="3"/>
      <c r="E19" s="3"/>
      <c r="F19" s="3"/>
      <c r="G19" s="3"/>
      <c r="H19" s="3"/>
      <c r="I19" s="3"/>
    </row>
    <row r="20" spans="2:9" x14ac:dyDescent="0.15">
      <c r="C20" s="3"/>
      <c r="D20" s="3"/>
      <c r="E20" s="3"/>
      <c r="F20" s="3"/>
      <c r="G20" s="3"/>
      <c r="H20" s="3"/>
      <c r="I20" s="3"/>
    </row>
    <row r="21" spans="2:9" ht="70" customHeight="1" x14ac:dyDescent="0.15">
      <c r="C21" s="3"/>
      <c r="D21" s="3"/>
      <c r="E21" s="3"/>
      <c r="F21" s="3"/>
      <c r="G21" s="3"/>
      <c r="H21" s="3"/>
      <c r="I21" s="3"/>
    </row>
  </sheetData>
  <mergeCells count="3">
    <mergeCell ref="C2:I2"/>
    <mergeCell ref="C18:I18"/>
    <mergeCell ref="D4:H4"/>
  </mergeCells>
  <conditionalFormatting sqref="C17:C18">
    <cfRule type="expression" dxfId="20" priority="1">
      <formula>AND(DAY(C17)&gt;=1,DAY(C17)&lt;=15)</formula>
    </cfRule>
  </conditionalFormatting>
  <conditionalFormatting sqref="C6:H6">
    <cfRule type="expression" dxfId="19" priority="3">
      <formula>DAY(C6)&gt;8</formula>
    </cfRule>
  </conditionalFormatting>
  <conditionalFormatting sqref="C14:I14 H15:I15 C16:I16 G17 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11" activePane="bottomLeft" state="frozen"/>
      <selection pane="bottomLeft" activeCell="H17" sqref="H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66"/>
      <c r="D1" s="66"/>
      <c r="E1" s="66"/>
      <c r="F1" s="66"/>
      <c r="G1" s="66"/>
      <c r="H1" s="66"/>
      <c r="I1" s="66"/>
    </row>
    <row r="2" spans="2:9" ht="75" customHeight="1" thickTop="1" x14ac:dyDescent="0.15">
      <c r="B2" s="61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3">
      <c r="B3" s="61"/>
      <c r="C3" s="45"/>
      <c r="D3" s="46"/>
      <c r="E3" s="46"/>
      <c r="F3" s="47"/>
      <c r="G3" s="12" t="s">
        <v>21</v>
      </c>
      <c r="H3" s="12" t="s">
        <v>22</v>
      </c>
      <c r="I3" s="65"/>
    </row>
    <row r="4" spans="2:9" ht="75" customHeight="1" x14ac:dyDescent="0.65">
      <c r="B4" s="61"/>
      <c r="C4" s="108">
        <f>CalendarYear</f>
        <v>2025</v>
      </c>
      <c r="D4" s="150" t="s">
        <v>23</v>
      </c>
      <c r="E4" s="150"/>
      <c r="F4" s="150"/>
      <c r="G4" s="150"/>
      <c r="H4" s="150"/>
      <c r="I4" s="109"/>
    </row>
    <row r="5" spans="2:9" ht="35" customHeight="1" x14ac:dyDescent="0.15">
      <c r="B5" s="61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28" customFormat="1" ht="25" customHeight="1" x14ac:dyDescent="0.2">
      <c r="B6" s="64"/>
      <c r="C6" s="35">
        <f t="array" ref="C6:I6">DaysAndWeeks+DATE(CalendarYear,7,1)-WEEKDAY(DATE(CalendarYear,7,1),(WeekStart="M")+1)+1</f>
        <v>45837</v>
      </c>
      <c r="D6" s="29">
        <v>45838</v>
      </c>
      <c r="E6" s="110">
        <v>45839</v>
      </c>
      <c r="F6" s="135">
        <v>45840</v>
      </c>
      <c r="G6" s="110">
        <v>45841</v>
      </c>
      <c r="H6" s="110">
        <v>45842</v>
      </c>
      <c r="I6" s="54">
        <v>45843</v>
      </c>
    </row>
    <row r="7" spans="2:9" s="42" customFormat="1" ht="75" customHeight="1" x14ac:dyDescent="0.15">
      <c r="B7" s="69"/>
      <c r="C7" s="129">
        <v>0.625</v>
      </c>
      <c r="D7" s="129"/>
      <c r="E7" s="103">
        <v>0.625</v>
      </c>
      <c r="F7" s="103">
        <v>0.625</v>
      </c>
      <c r="G7" s="134"/>
      <c r="H7" s="103"/>
      <c r="I7" s="70"/>
    </row>
    <row r="8" spans="2:9" s="28" customFormat="1" ht="25" customHeight="1" x14ac:dyDescent="0.2">
      <c r="B8" s="64"/>
      <c r="C8" s="30">
        <f t="array" ref="C8:I8">DaysAndWeeks+DATE(CalendarYear,7,1)-WEEKDAY(DATE(CalendarYear,7,1),(WeekStart="M")+1)+8</f>
        <v>45844</v>
      </c>
      <c r="D8" s="27">
        <v>45845</v>
      </c>
      <c r="E8" s="27">
        <v>45846</v>
      </c>
      <c r="F8" s="27">
        <v>45847</v>
      </c>
      <c r="G8" s="27">
        <v>45848</v>
      </c>
      <c r="H8" s="27">
        <v>45849</v>
      </c>
      <c r="I8" s="54">
        <v>45850</v>
      </c>
    </row>
    <row r="9" spans="2:9" s="42" customFormat="1" ht="75" customHeight="1" x14ac:dyDescent="0.15">
      <c r="B9" s="69"/>
      <c r="C9" s="103"/>
      <c r="D9" s="103"/>
      <c r="E9" s="103">
        <v>0.625</v>
      </c>
      <c r="F9" s="103">
        <v>0.625</v>
      </c>
      <c r="G9" s="103"/>
      <c r="H9" s="103">
        <v>0.625</v>
      </c>
      <c r="I9" s="70"/>
    </row>
    <row r="10" spans="2:9" s="28" customFormat="1" ht="25" customHeight="1" x14ac:dyDescent="0.2">
      <c r="B10" s="64"/>
      <c r="C10" s="30">
        <f t="array" ref="C10:I10">DaysAndWeeks+DATE(CalendarYear,7,1)-WEEKDAY(DATE(CalendarYear,7,1),(WeekStart="M")+1)+15</f>
        <v>45851</v>
      </c>
      <c r="D10" s="27">
        <v>45852</v>
      </c>
      <c r="E10" s="27">
        <v>45853</v>
      </c>
      <c r="F10" s="27">
        <v>45854</v>
      </c>
      <c r="G10" s="27">
        <v>45855</v>
      </c>
      <c r="H10" s="27">
        <v>45856</v>
      </c>
      <c r="I10" s="54">
        <v>45857</v>
      </c>
    </row>
    <row r="11" spans="2:9" s="42" customFormat="1" ht="75" customHeight="1" x14ac:dyDescent="0.15">
      <c r="B11" s="69"/>
      <c r="C11" s="103">
        <v>0.625</v>
      </c>
      <c r="D11" s="103"/>
      <c r="E11" s="103">
        <v>0.625</v>
      </c>
      <c r="F11" s="103">
        <v>0.625</v>
      </c>
      <c r="G11" s="103"/>
      <c r="H11" s="103"/>
      <c r="I11" s="70"/>
    </row>
    <row r="12" spans="2:9" s="28" customFormat="1" ht="25" customHeight="1" x14ac:dyDescent="0.2">
      <c r="B12" s="64"/>
      <c r="C12" s="30">
        <f t="array" ref="C12:I12">DaysAndWeeks+DATE(CalendarYear,7,1)-WEEKDAY(DATE(CalendarYear,7,1),(WeekStart="M")+1)+22</f>
        <v>45858</v>
      </c>
      <c r="D12" s="27">
        <v>45859</v>
      </c>
      <c r="E12" s="27">
        <v>45860</v>
      </c>
      <c r="F12" s="27">
        <v>45861</v>
      </c>
      <c r="G12" s="27">
        <v>45862</v>
      </c>
      <c r="H12" s="27">
        <v>45863</v>
      </c>
      <c r="I12" s="54">
        <v>45864</v>
      </c>
    </row>
    <row r="13" spans="2:9" s="42" customFormat="1" ht="75" customHeight="1" x14ac:dyDescent="0.15">
      <c r="B13" s="69"/>
      <c r="C13" s="103"/>
      <c r="D13" s="103"/>
      <c r="E13" s="103">
        <v>0.625</v>
      </c>
      <c r="F13" s="103">
        <v>0.625</v>
      </c>
      <c r="G13" s="103"/>
      <c r="H13" s="103">
        <v>0.625</v>
      </c>
      <c r="I13" s="70"/>
    </row>
    <row r="14" spans="2:9" s="26" customFormat="1" ht="25" customHeight="1" x14ac:dyDescent="0.2">
      <c r="B14" s="62"/>
      <c r="C14" s="30">
        <f t="array" ref="C14:I14">DaysAndWeeks+DATE(CalendarYear,7,1)-WEEKDAY(DATE(CalendarYear,7,1),(WeekStart="M")+1)+29</f>
        <v>45865</v>
      </c>
      <c r="D14" s="27">
        <v>45866</v>
      </c>
      <c r="E14" s="27">
        <v>45867</v>
      </c>
      <c r="F14" s="27">
        <v>45868</v>
      </c>
      <c r="G14" s="27">
        <v>45869</v>
      </c>
      <c r="H14" s="29">
        <v>45870</v>
      </c>
      <c r="I14" s="56">
        <v>45871</v>
      </c>
    </row>
    <row r="15" spans="2:9" s="42" customFormat="1" ht="75" customHeight="1" x14ac:dyDescent="0.15">
      <c r="B15" s="69"/>
      <c r="C15" s="103">
        <v>0.625</v>
      </c>
      <c r="D15" s="103"/>
      <c r="E15" s="103">
        <v>0.625</v>
      </c>
      <c r="F15" s="103">
        <v>0.625</v>
      </c>
      <c r="G15" s="103"/>
      <c r="H15" s="129"/>
      <c r="I15" s="136"/>
    </row>
    <row r="16" spans="2:9" s="28" customFormat="1" ht="25" customHeight="1" x14ac:dyDescent="0.2">
      <c r="B16" s="64"/>
      <c r="C16" s="35">
        <f t="array" ref="C16:I16">DaysAndWeeks+DATE(CalendarYear,7,1)-WEEKDAY(DATE(CalendarYear,7,1),(WeekStart="M")+1)+36</f>
        <v>45872</v>
      </c>
      <c r="D16" s="29">
        <v>45873</v>
      </c>
      <c r="E16" s="29">
        <v>45874</v>
      </c>
      <c r="F16" s="29">
        <v>45875</v>
      </c>
      <c r="G16" s="29">
        <v>45876</v>
      </c>
      <c r="H16" s="29">
        <v>45877</v>
      </c>
      <c r="I16" s="56">
        <v>45878</v>
      </c>
    </row>
    <row r="17" spans="2:9" s="42" customFormat="1" ht="75" customHeight="1" x14ac:dyDescent="0.15">
      <c r="B17" s="69"/>
      <c r="C17" s="129"/>
      <c r="D17" s="129"/>
      <c r="E17" s="129">
        <v>0.625</v>
      </c>
      <c r="F17" s="129">
        <v>0.625</v>
      </c>
      <c r="G17" s="43"/>
      <c r="H17" s="129">
        <v>0.625</v>
      </c>
      <c r="I17" s="76"/>
    </row>
    <row r="18" spans="2:9" ht="125" customHeight="1" thickBot="1" x14ac:dyDescent="0.2">
      <c r="B18" s="61"/>
      <c r="C18" s="146" t="s">
        <v>5</v>
      </c>
      <c r="D18" s="147"/>
      <c r="E18" s="147"/>
      <c r="F18" s="147"/>
      <c r="G18" s="147"/>
      <c r="H18" s="147"/>
      <c r="I18" s="148"/>
    </row>
    <row r="19" spans="2:9" ht="15" thickTop="1" x14ac:dyDescent="0.15">
      <c r="C19" s="3"/>
      <c r="D19" s="3"/>
      <c r="E19" s="3"/>
      <c r="F19" s="3"/>
      <c r="G19" s="3"/>
      <c r="H19" s="3"/>
      <c r="I19" s="3"/>
    </row>
    <row r="20" spans="2:9" x14ac:dyDescent="0.15">
      <c r="C20" s="3"/>
      <c r="D20" s="3"/>
      <c r="E20" s="3"/>
      <c r="F20" s="3"/>
      <c r="G20" s="3"/>
      <c r="H20" s="3"/>
      <c r="I20" s="3"/>
    </row>
    <row r="21" spans="2:9" ht="70" customHeight="1" x14ac:dyDescent="0.15">
      <c r="C21" s="3"/>
      <c r="D21" s="3"/>
      <c r="E21" s="3"/>
      <c r="F21" s="3"/>
      <c r="G21" s="3"/>
      <c r="H21" s="3"/>
      <c r="I21" s="3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I15 C16:I16 G17 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H17" sqref="H17"/>
    </sheetView>
  </sheetViews>
  <sheetFormatPr baseColWidth="10" defaultColWidth="8.625" defaultRowHeight="17" x14ac:dyDescent="0.15"/>
  <cols>
    <col min="1" max="2" width="2.625" style="26" customWidth="1"/>
    <col min="3" max="9" width="24.375" style="26" customWidth="1"/>
    <col min="10" max="16384" width="8.625" style="26"/>
  </cols>
  <sheetData>
    <row r="1" spans="2:9" ht="15" customHeight="1" thickBot="1" x14ac:dyDescent="0.2"/>
    <row r="2" spans="2:9" ht="75" customHeight="1" thickTop="1" x14ac:dyDescent="0.15">
      <c r="B2" s="62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2">
      <c r="B3" s="62"/>
      <c r="C3" s="82"/>
      <c r="D3" s="83"/>
      <c r="E3" s="83"/>
      <c r="F3" s="84"/>
      <c r="G3" s="39" t="s">
        <v>24</v>
      </c>
      <c r="H3" s="39" t="s">
        <v>25</v>
      </c>
      <c r="I3" s="89"/>
    </row>
    <row r="4" spans="2:9" ht="75" customHeight="1" x14ac:dyDescent="0.65">
      <c r="B4" s="62"/>
      <c r="C4" s="108">
        <f>CalendarYear</f>
        <v>2025</v>
      </c>
      <c r="D4" s="150" t="s">
        <v>26</v>
      </c>
      <c r="E4" s="150"/>
      <c r="F4" s="150"/>
      <c r="G4" s="150"/>
      <c r="H4" s="150"/>
      <c r="I4" s="109"/>
    </row>
    <row r="5" spans="2:9" ht="35" customHeight="1" x14ac:dyDescent="0.15">
      <c r="B5" s="62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85" customFormat="1" ht="25" customHeight="1" x14ac:dyDescent="0.2">
      <c r="B6" s="87"/>
      <c r="C6" s="86">
        <f t="array" ref="C6:I6">DaysAndWeeks+DATE(CalendarYear,8,1)-WEEKDAY(DATE(CalendarYear,8,1),(WeekStart="M")+1)+1</f>
        <v>45865</v>
      </c>
      <c r="D6" s="86">
        <v>45866</v>
      </c>
      <c r="E6" s="21">
        <v>45867</v>
      </c>
      <c r="F6" s="21">
        <v>45868</v>
      </c>
      <c r="G6" s="21">
        <v>45869</v>
      </c>
      <c r="H6" s="48">
        <v>45870</v>
      </c>
      <c r="I6" s="88">
        <v>45871</v>
      </c>
    </row>
    <row r="7" spans="2:9" s="52" customFormat="1" ht="75" customHeight="1" x14ac:dyDescent="0.15">
      <c r="B7" s="63"/>
      <c r="C7" s="129">
        <v>0.625</v>
      </c>
      <c r="D7" s="129"/>
      <c r="E7" s="129">
        <v>0.625</v>
      </c>
      <c r="F7" s="129">
        <v>0.625</v>
      </c>
      <c r="G7" s="129"/>
      <c r="H7" s="103"/>
      <c r="I7" s="55"/>
    </row>
    <row r="8" spans="2:9" ht="25" customHeight="1" x14ac:dyDescent="0.2">
      <c r="B8" s="62"/>
      <c r="C8" s="30">
        <f t="array" ref="C8:I8">DaysAndWeeks+DATE(CalendarYear,8,1)-WEEKDAY(DATE(CalendarYear,8,1),(WeekStart="M")+1)+8</f>
        <v>45872</v>
      </c>
      <c r="D8" s="93">
        <v>45873</v>
      </c>
      <c r="E8" s="27">
        <v>45874</v>
      </c>
      <c r="F8" s="27">
        <v>45875</v>
      </c>
      <c r="G8" s="27">
        <v>45876</v>
      </c>
      <c r="H8" s="27">
        <v>45877</v>
      </c>
      <c r="I8" s="54">
        <v>45878</v>
      </c>
    </row>
    <row r="9" spans="2:9" s="52" customFormat="1" ht="75" customHeight="1" x14ac:dyDescent="0.15">
      <c r="B9" s="63"/>
      <c r="C9" s="103"/>
      <c r="D9" s="103"/>
      <c r="E9" s="103">
        <v>0.625</v>
      </c>
      <c r="F9" s="103">
        <v>0.625</v>
      </c>
      <c r="G9" s="103"/>
      <c r="H9" s="103">
        <v>0.625</v>
      </c>
      <c r="I9" s="55"/>
    </row>
    <row r="10" spans="2:9" ht="25" customHeight="1" x14ac:dyDescent="0.2">
      <c r="B10" s="62"/>
      <c r="C10" s="30">
        <f t="array" ref="C10:I10">DaysAndWeeks+DATE(CalendarYear,8,1)-WEEKDAY(DATE(CalendarYear,8,1),(WeekStart="M")+1)+15</f>
        <v>45879</v>
      </c>
      <c r="D10" s="93">
        <v>45880</v>
      </c>
      <c r="E10" s="27">
        <v>45881</v>
      </c>
      <c r="F10" s="27">
        <v>45882</v>
      </c>
      <c r="G10" s="27">
        <v>45883</v>
      </c>
      <c r="H10" s="27">
        <v>45884</v>
      </c>
      <c r="I10" s="54">
        <v>45885</v>
      </c>
    </row>
    <row r="11" spans="2:9" s="52" customFormat="1" ht="75" customHeight="1" x14ac:dyDescent="0.15">
      <c r="B11" s="63"/>
      <c r="C11" s="103">
        <v>0.625</v>
      </c>
      <c r="D11" s="103"/>
      <c r="E11" s="103">
        <v>0.625</v>
      </c>
      <c r="F11" s="103">
        <v>0.625</v>
      </c>
      <c r="G11" s="103"/>
      <c r="H11" s="103"/>
      <c r="I11" s="55"/>
    </row>
    <row r="12" spans="2:9" ht="25" customHeight="1" x14ac:dyDescent="0.2">
      <c r="B12" s="62"/>
      <c r="C12" s="30">
        <f t="array" ref="C12:I12">DaysAndWeeks+DATE(CalendarYear,8,1)-WEEKDAY(DATE(CalendarYear,8,1),(WeekStart="M")+1)+22</f>
        <v>45886</v>
      </c>
      <c r="D12" s="93">
        <v>45887</v>
      </c>
      <c r="E12" s="27">
        <v>45888</v>
      </c>
      <c r="F12" s="27">
        <v>45889</v>
      </c>
      <c r="G12" s="27">
        <v>45890</v>
      </c>
      <c r="H12" s="27">
        <v>45891</v>
      </c>
      <c r="I12" s="54">
        <v>45892</v>
      </c>
    </row>
    <row r="13" spans="2:9" s="52" customFormat="1" ht="75" customHeight="1" x14ac:dyDescent="0.15">
      <c r="B13" s="63"/>
      <c r="C13" s="103"/>
      <c r="D13" s="103"/>
      <c r="E13" s="103">
        <v>0.625</v>
      </c>
      <c r="F13" s="103">
        <v>0.625</v>
      </c>
      <c r="G13" s="103"/>
      <c r="H13" s="103">
        <v>0.625</v>
      </c>
      <c r="I13" s="55"/>
    </row>
    <row r="14" spans="2:9" ht="25" customHeight="1" x14ac:dyDescent="0.2">
      <c r="B14" s="62"/>
      <c r="C14" s="30">
        <f t="array" ref="C14:I14">DaysAndWeeks+DATE(CalendarYear,8,1)-WEEKDAY(DATE(CalendarYear,8,1),(WeekStart="M")+1)+29</f>
        <v>45893</v>
      </c>
      <c r="D14" s="27">
        <v>45894</v>
      </c>
      <c r="E14" s="27">
        <v>45895</v>
      </c>
      <c r="F14" s="27">
        <v>45896</v>
      </c>
      <c r="G14" s="93">
        <v>45897</v>
      </c>
      <c r="H14" s="110">
        <v>45898</v>
      </c>
      <c r="I14" s="126">
        <v>45899</v>
      </c>
    </row>
    <row r="15" spans="2:9" s="52" customFormat="1" ht="75" customHeight="1" x14ac:dyDescent="0.15">
      <c r="B15" s="63"/>
      <c r="C15" s="103">
        <v>0.625</v>
      </c>
      <c r="D15" s="103"/>
      <c r="E15" s="103">
        <v>0.625</v>
      </c>
      <c r="F15" s="103">
        <v>0.625</v>
      </c>
      <c r="G15" s="103"/>
      <c r="H15" s="103"/>
      <c r="I15" s="137"/>
    </row>
    <row r="16" spans="2:9" ht="25" customHeight="1" x14ac:dyDescent="0.2">
      <c r="B16" s="62"/>
      <c r="C16" s="128">
        <f t="array" ref="C16:I16">DaysAndWeeks+DATE(CalendarYear,8,1)-WEEKDAY(DATE(CalendarYear,8,1),(WeekStart="M")+1)+36</f>
        <v>45900</v>
      </c>
      <c r="D16" s="29">
        <v>45901</v>
      </c>
      <c r="E16" s="29">
        <v>45902</v>
      </c>
      <c r="F16" s="29">
        <v>45903</v>
      </c>
      <c r="G16" s="29">
        <v>45904</v>
      </c>
      <c r="H16" s="29">
        <v>45905</v>
      </c>
      <c r="I16" s="56">
        <v>45906</v>
      </c>
    </row>
    <row r="17" spans="2:9" s="52" customFormat="1" ht="75" customHeight="1" x14ac:dyDescent="0.15">
      <c r="B17" s="63"/>
      <c r="C17" s="132"/>
      <c r="D17" s="129"/>
      <c r="E17" s="129">
        <v>0.625</v>
      </c>
      <c r="F17" s="129">
        <v>0.625</v>
      </c>
      <c r="G17" s="51"/>
      <c r="H17" s="129">
        <v>0.625</v>
      </c>
      <c r="I17" s="57"/>
    </row>
    <row r="18" spans="2:9" s="1" customFormat="1" ht="125" customHeight="1" thickBot="1" x14ac:dyDescent="0.2">
      <c r="B18" s="61"/>
      <c r="C18" s="146" t="s">
        <v>5</v>
      </c>
      <c r="D18" s="147"/>
      <c r="E18" s="147"/>
      <c r="F18" s="147"/>
      <c r="G18" s="147"/>
      <c r="H18" s="147"/>
      <c r="I18" s="148"/>
    </row>
    <row r="19" spans="2:9" s="1" customFormat="1" ht="15" thickTop="1" x14ac:dyDescent="0.15">
      <c r="C19" s="3"/>
      <c r="D19" s="3"/>
      <c r="E19" s="3"/>
      <c r="F19" s="3"/>
      <c r="G19" s="3"/>
      <c r="H19" s="3"/>
      <c r="I19" s="3"/>
    </row>
    <row r="20" spans="2:9" s="1" customFormat="1" ht="14" x14ac:dyDescent="0.15">
      <c r="C20" s="3"/>
      <c r="D20" s="3"/>
      <c r="E20" s="3"/>
      <c r="F20" s="3"/>
      <c r="G20" s="3"/>
      <c r="H20" s="3"/>
      <c r="I20" s="3"/>
    </row>
    <row r="21" spans="2:9" s="1" customFormat="1" ht="70" customHeight="1" x14ac:dyDescent="0.15">
      <c r="C21" s="3"/>
      <c r="D21" s="3"/>
      <c r="E21" s="3"/>
      <c r="F21" s="3"/>
      <c r="G21" s="3"/>
      <c r="H21" s="3"/>
      <c r="I21" s="3"/>
    </row>
  </sheetData>
  <mergeCells count="3">
    <mergeCell ref="C2:I2"/>
    <mergeCell ref="C18:I18"/>
    <mergeCell ref="D4:H4"/>
  </mergeCells>
  <conditionalFormatting sqref="C17:C18">
    <cfRule type="expression" dxfId="14" priority="1">
      <formula>AND(DAY(C17)&gt;=1,DAY(C17)&lt;=15)</formula>
    </cfRule>
  </conditionalFormatting>
  <conditionalFormatting sqref="C6:H6">
    <cfRule type="expression" dxfId="13" priority="3">
      <formula>DAY(C6)&gt;8</formula>
    </cfRule>
  </conditionalFormatting>
  <conditionalFormatting sqref="C14:I14 I15 C16:I16 G17 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17" sqref="C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66"/>
      <c r="D1" s="66"/>
      <c r="E1" s="66"/>
      <c r="F1" s="66"/>
      <c r="G1" s="66"/>
      <c r="H1" s="66"/>
      <c r="I1" s="66"/>
    </row>
    <row r="2" spans="2:9" ht="75" customHeight="1" thickTop="1" x14ac:dyDescent="0.15">
      <c r="B2" s="61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3">
      <c r="B3" s="61"/>
      <c r="C3" s="45"/>
      <c r="D3" s="46"/>
      <c r="E3" s="46"/>
      <c r="F3" s="47"/>
      <c r="G3" s="12" t="s">
        <v>27</v>
      </c>
      <c r="H3" s="12" t="s">
        <v>28</v>
      </c>
      <c r="I3" s="65"/>
    </row>
    <row r="4" spans="2:9" ht="75" customHeight="1" x14ac:dyDescent="0.65">
      <c r="B4" s="61"/>
      <c r="C4" s="108">
        <f>CalendarYear</f>
        <v>2025</v>
      </c>
      <c r="D4" s="155" t="s">
        <v>29</v>
      </c>
      <c r="E4" s="155"/>
      <c r="F4" s="155"/>
      <c r="G4" s="155"/>
      <c r="H4" s="155"/>
      <c r="I4" s="107"/>
    </row>
    <row r="5" spans="2:9" ht="35" customHeight="1" x14ac:dyDescent="0.15">
      <c r="B5" s="61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28" customFormat="1" ht="25" customHeight="1" x14ac:dyDescent="0.2">
      <c r="B6" s="64"/>
      <c r="C6" s="35">
        <f t="array" ref="C6:I6">DaysAndWeeks+DATE(CalendarYear,9,1)-WEEKDAY(DATE(CalendarYear,9,1),(WeekStart="M")+1)+1</f>
        <v>45900</v>
      </c>
      <c r="D6" s="110">
        <v>45901</v>
      </c>
      <c r="E6" s="110">
        <v>45902</v>
      </c>
      <c r="F6" s="110">
        <v>45903</v>
      </c>
      <c r="G6" s="110">
        <v>45904</v>
      </c>
      <c r="H6" s="27">
        <v>45905</v>
      </c>
      <c r="I6" s="54">
        <v>45906</v>
      </c>
    </row>
    <row r="7" spans="2:9" s="42" customFormat="1" ht="75" customHeight="1" x14ac:dyDescent="0.15">
      <c r="B7" s="69"/>
      <c r="C7" s="44"/>
      <c r="D7" s="103"/>
      <c r="E7" s="103">
        <v>0.625</v>
      </c>
      <c r="F7" s="103">
        <v>0.625</v>
      </c>
      <c r="G7" s="134"/>
      <c r="H7" s="103">
        <v>0.625</v>
      </c>
      <c r="I7" s="70"/>
    </row>
    <row r="8" spans="2:9" s="28" customFormat="1" ht="25" customHeight="1" x14ac:dyDescent="0.2">
      <c r="B8" s="64"/>
      <c r="C8" s="30">
        <f t="array" ref="C8:I8">DaysAndWeeks+DATE(CalendarYear,9,1)-WEEKDAY(DATE(CalendarYear,9,1),(WeekStart="M")+1)+8</f>
        <v>45907</v>
      </c>
      <c r="D8" s="27">
        <v>45908</v>
      </c>
      <c r="E8" s="27">
        <v>45909</v>
      </c>
      <c r="F8" s="27">
        <v>45910</v>
      </c>
      <c r="G8" s="27">
        <v>45911</v>
      </c>
      <c r="H8" s="27">
        <v>45912</v>
      </c>
      <c r="I8" s="54">
        <v>45913</v>
      </c>
    </row>
    <row r="9" spans="2:9" s="42" customFormat="1" ht="75" customHeight="1" x14ac:dyDescent="0.15">
      <c r="B9" s="69"/>
      <c r="C9" s="103">
        <v>0.625</v>
      </c>
      <c r="D9" s="103"/>
      <c r="E9" s="103">
        <v>0.625</v>
      </c>
      <c r="F9" s="103">
        <v>0.625</v>
      </c>
      <c r="G9" s="103"/>
      <c r="H9" s="103"/>
      <c r="I9" s="70"/>
    </row>
    <row r="10" spans="2:9" s="28" customFormat="1" ht="25" customHeight="1" x14ac:dyDescent="0.2">
      <c r="B10" s="64"/>
      <c r="C10" s="30">
        <f t="array" ref="C10:I10">DaysAndWeeks+DATE(CalendarYear,9,1)-WEEKDAY(DATE(CalendarYear,9,1),(WeekStart="M")+1)+15</f>
        <v>45914</v>
      </c>
      <c r="D10" s="27">
        <v>45915</v>
      </c>
      <c r="E10" s="27">
        <v>45916</v>
      </c>
      <c r="F10" s="27">
        <v>45917</v>
      </c>
      <c r="G10" s="27">
        <v>45918</v>
      </c>
      <c r="H10" s="27">
        <v>45919</v>
      </c>
      <c r="I10" s="54">
        <v>45920</v>
      </c>
    </row>
    <row r="11" spans="2:9" s="42" customFormat="1" ht="75" customHeight="1" x14ac:dyDescent="0.15">
      <c r="B11" s="69"/>
      <c r="C11" s="119"/>
      <c r="D11" s="103"/>
      <c r="E11" s="103">
        <v>0.625</v>
      </c>
      <c r="F11" s="103">
        <v>0.625</v>
      </c>
      <c r="G11" s="103"/>
      <c r="H11" s="103">
        <v>0.625</v>
      </c>
      <c r="I11" s="70"/>
    </row>
    <row r="12" spans="2:9" s="28" customFormat="1" ht="25" customHeight="1" x14ac:dyDescent="0.2">
      <c r="B12" s="64"/>
      <c r="C12" s="30">
        <f t="array" ref="C12:I12">DaysAndWeeks+DATE(CalendarYear,9,1)-WEEKDAY(DATE(CalendarYear,9,1),(WeekStart="M")+1)+22</f>
        <v>45921</v>
      </c>
      <c r="D12" s="27">
        <v>45922</v>
      </c>
      <c r="E12" s="27">
        <v>45923</v>
      </c>
      <c r="F12" s="27">
        <v>45924</v>
      </c>
      <c r="G12" s="27">
        <v>45925</v>
      </c>
      <c r="H12" s="27">
        <v>45926</v>
      </c>
      <c r="I12" s="54">
        <v>45927</v>
      </c>
    </row>
    <row r="13" spans="2:9" s="42" customFormat="1" ht="75" customHeight="1" x14ac:dyDescent="0.15">
      <c r="B13" s="69"/>
      <c r="C13" s="103">
        <v>0.625</v>
      </c>
      <c r="D13" s="103"/>
      <c r="E13" s="103">
        <v>0.625</v>
      </c>
      <c r="F13" s="103">
        <v>0.625</v>
      </c>
      <c r="G13" s="103"/>
      <c r="H13" s="103"/>
      <c r="I13" s="70"/>
    </row>
    <row r="14" spans="2:9" s="28" customFormat="1" ht="25" customHeight="1" x14ac:dyDescent="0.2">
      <c r="B14" s="64"/>
      <c r="C14" s="30">
        <f t="array" ref="C14:I14">DaysAndWeeks+DATE(CalendarYear,9,1)-WEEKDAY(DATE(CalendarYear,9,1),(WeekStart="M")+1)+29</f>
        <v>45928</v>
      </c>
      <c r="D14" s="27">
        <v>45929</v>
      </c>
      <c r="E14" s="27">
        <v>45930</v>
      </c>
      <c r="F14" s="29">
        <v>45931</v>
      </c>
      <c r="G14" s="29">
        <v>45932</v>
      </c>
      <c r="H14" s="29">
        <v>45933</v>
      </c>
      <c r="I14" s="56">
        <v>45934</v>
      </c>
    </row>
    <row r="15" spans="2:9" s="42" customFormat="1" ht="75" customHeight="1" x14ac:dyDescent="0.15">
      <c r="B15" s="69"/>
      <c r="C15" s="119"/>
      <c r="D15" s="103"/>
      <c r="E15" s="129">
        <v>0.625</v>
      </c>
      <c r="F15" s="129">
        <v>0.625</v>
      </c>
      <c r="G15" s="129"/>
      <c r="H15" s="129">
        <v>0.625</v>
      </c>
      <c r="I15" s="76"/>
    </row>
    <row r="16" spans="2:9" s="28" customFormat="1" ht="25" customHeight="1" x14ac:dyDescent="0.2">
      <c r="B16" s="64"/>
      <c r="C16" s="35">
        <f t="array" ref="C16:I16">DaysAndWeeks+DATE(CalendarYear,9,1)-WEEKDAY(DATE(CalendarYear,9,1),(WeekStart="M")+1)+36</f>
        <v>45935</v>
      </c>
      <c r="D16" s="29">
        <v>45936</v>
      </c>
      <c r="E16" s="29">
        <v>45937</v>
      </c>
      <c r="F16" s="29">
        <v>45938</v>
      </c>
      <c r="G16" s="29">
        <v>45939</v>
      </c>
      <c r="H16" s="29">
        <v>45940</v>
      </c>
      <c r="I16" s="56">
        <v>45941</v>
      </c>
    </row>
    <row r="17" spans="2:9" s="42" customFormat="1" ht="75" customHeight="1" x14ac:dyDescent="0.15">
      <c r="B17" s="69"/>
      <c r="C17" s="129">
        <v>0.625</v>
      </c>
      <c r="D17" s="129"/>
      <c r="E17" s="129">
        <v>0.625</v>
      </c>
      <c r="F17" s="129">
        <v>0.625</v>
      </c>
      <c r="G17" s="43"/>
      <c r="H17" s="129"/>
      <c r="I17" s="76"/>
    </row>
    <row r="18" spans="2:9" ht="125" customHeight="1" thickBot="1" x14ac:dyDescent="0.2">
      <c r="B18" s="61"/>
      <c r="C18" s="146" t="s">
        <v>5</v>
      </c>
      <c r="D18" s="147"/>
      <c r="E18" s="147"/>
      <c r="F18" s="147"/>
      <c r="G18" s="147"/>
      <c r="H18" s="147"/>
      <c r="I18" s="148"/>
    </row>
    <row r="19" spans="2:9" ht="15" thickTop="1" x14ac:dyDescent="0.15">
      <c r="C19" s="3"/>
      <c r="D19" s="3"/>
      <c r="E19" s="3"/>
      <c r="F19" s="3"/>
      <c r="G19" s="3"/>
      <c r="H19" s="3"/>
      <c r="I19" s="3"/>
    </row>
    <row r="20" spans="2:9" x14ac:dyDescent="0.15">
      <c r="C20" s="3"/>
      <c r="D20" s="3"/>
      <c r="E20" s="3"/>
      <c r="F20" s="3"/>
      <c r="G20" s="3"/>
      <c r="H20" s="3"/>
      <c r="I20" s="3"/>
    </row>
    <row r="21" spans="2:9" ht="70" customHeight="1" x14ac:dyDescent="0.15">
      <c r="C21" s="3"/>
      <c r="D21" s="3"/>
      <c r="E21" s="3"/>
      <c r="F21" s="3"/>
      <c r="G21" s="3"/>
      <c r="H21" s="3"/>
      <c r="I21" s="3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4 I15 C16:I16 G17 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8" activePane="bottomLeft" state="frozen"/>
      <selection pane="bottomLeft" activeCell="D17" sqref="D17"/>
    </sheetView>
  </sheetViews>
  <sheetFormatPr baseColWidth="10" defaultColWidth="8.625" defaultRowHeight="17" x14ac:dyDescent="0.15"/>
  <cols>
    <col min="1" max="2" width="2.625" style="26" customWidth="1"/>
    <col min="3" max="9" width="24.375" style="26" customWidth="1"/>
    <col min="10" max="16384" width="8.625" style="26"/>
  </cols>
  <sheetData>
    <row r="1" spans="2:9" ht="15" customHeight="1" thickBot="1" x14ac:dyDescent="0.2">
      <c r="C1" s="92"/>
      <c r="D1" s="92"/>
      <c r="E1" s="92"/>
      <c r="F1" s="92"/>
      <c r="G1" s="92"/>
      <c r="H1" s="92"/>
      <c r="I1" s="92"/>
    </row>
    <row r="2" spans="2:9" ht="75" customHeight="1" thickTop="1" x14ac:dyDescent="0.15">
      <c r="B2" s="62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2">
      <c r="B3" s="62"/>
      <c r="C3" s="82"/>
      <c r="D3" s="83"/>
      <c r="E3" s="83"/>
      <c r="F3" s="84"/>
      <c r="G3" s="12" t="s">
        <v>30</v>
      </c>
      <c r="H3" s="12" t="s">
        <v>31</v>
      </c>
      <c r="I3" s="89"/>
    </row>
    <row r="4" spans="2:9" ht="75" customHeight="1" x14ac:dyDescent="0.65">
      <c r="B4" s="62"/>
      <c r="C4" s="108">
        <f>CalendarYear</f>
        <v>2025</v>
      </c>
      <c r="D4" s="155" t="s">
        <v>32</v>
      </c>
      <c r="E4" s="155"/>
      <c r="F4" s="155"/>
      <c r="G4" s="155"/>
      <c r="H4" s="155"/>
      <c r="I4" s="107"/>
    </row>
    <row r="5" spans="2:9" ht="35" customHeight="1" x14ac:dyDescent="0.15">
      <c r="B5" s="62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ht="25" customHeight="1" x14ac:dyDescent="0.2">
      <c r="B6" s="62"/>
      <c r="C6" s="35">
        <f t="array" ref="C6:I6">DaysAndWeeks+DATE(CalendarYear,10,1)-WEEKDAY(DATE(CalendarYear,10,1),(WeekStart="M")+1)+1</f>
        <v>45928</v>
      </c>
      <c r="D6" s="29">
        <v>45929</v>
      </c>
      <c r="E6" s="29">
        <v>45930</v>
      </c>
      <c r="F6" s="93">
        <v>45931</v>
      </c>
      <c r="G6" s="93">
        <v>45932</v>
      </c>
      <c r="H6" s="93">
        <v>45933</v>
      </c>
      <c r="I6" s="54">
        <v>45934</v>
      </c>
    </row>
    <row r="7" spans="2:9" s="52" customFormat="1" ht="75" customHeight="1" x14ac:dyDescent="0.15">
      <c r="B7" s="63"/>
      <c r="C7" s="138"/>
      <c r="D7" s="129"/>
      <c r="E7" s="129">
        <v>0.625</v>
      </c>
      <c r="F7" s="103">
        <v>0.625</v>
      </c>
      <c r="G7" s="103"/>
      <c r="H7" s="103">
        <v>0.625</v>
      </c>
      <c r="I7" s="55"/>
    </row>
    <row r="8" spans="2:9" ht="25" customHeight="1" x14ac:dyDescent="0.2">
      <c r="B8" s="62"/>
      <c r="C8" s="30">
        <f t="array" ref="C8:I8">DaysAndWeeks+DATE(CalendarYear,10,1)-WEEKDAY(DATE(CalendarYear,10,1),(WeekStart="M")+1)+8</f>
        <v>45935</v>
      </c>
      <c r="D8" s="27">
        <v>45936</v>
      </c>
      <c r="E8" s="27">
        <v>45937</v>
      </c>
      <c r="F8" s="27">
        <v>45938</v>
      </c>
      <c r="G8" s="27">
        <v>45939</v>
      </c>
      <c r="H8" s="27">
        <v>45940</v>
      </c>
      <c r="I8" s="54">
        <v>45941</v>
      </c>
    </row>
    <row r="9" spans="2:9" s="52" customFormat="1" ht="75" customHeight="1" x14ac:dyDescent="0.15">
      <c r="B9" s="63"/>
      <c r="C9" s="103">
        <v>0.625</v>
      </c>
      <c r="D9" s="103"/>
      <c r="E9" s="103">
        <v>0.625</v>
      </c>
      <c r="F9" s="103">
        <v>0.625</v>
      </c>
      <c r="G9" s="103"/>
      <c r="H9" s="103"/>
      <c r="I9" s="55"/>
    </row>
    <row r="10" spans="2:9" ht="25" customHeight="1" x14ac:dyDescent="0.2">
      <c r="B10" s="62"/>
      <c r="C10" s="30">
        <f t="array" ref="C10:I10">DaysAndWeeks+DATE(CalendarYear,10,1)-WEEKDAY(DATE(CalendarYear,10,1),(WeekStart="M")+1)+15</f>
        <v>45942</v>
      </c>
      <c r="D10" s="27">
        <v>45943</v>
      </c>
      <c r="E10" s="27">
        <v>45944</v>
      </c>
      <c r="F10" s="27">
        <v>45945</v>
      </c>
      <c r="G10" s="27">
        <v>45946</v>
      </c>
      <c r="H10" s="27">
        <v>45947</v>
      </c>
      <c r="I10" s="54">
        <v>45948</v>
      </c>
    </row>
    <row r="11" spans="2:9" s="52" customFormat="1" ht="75" customHeight="1" x14ac:dyDescent="0.15">
      <c r="B11" s="63"/>
      <c r="C11" s="119"/>
      <c r="D11" s="103"/>
      <c r="E11" s="103">
        <v>0.625</v>
      </c>
      <c r="F11" s="103">
        <v>0.625</v>
      </c>
      <c r="G11" s="103"/>
      <c r="H11" s="103">
        <v>0.625</v>
      </c>
      <c r="I11" s="55"/>
    </row>
    <row r="12" spans="2:9" ht="25" customHeight="1" x14ac:dyDescent="0.2">
      <c r="B12" s="62"/>
      <c r="C12" s="30">
        <f t="array" ref="C12:I12">DaysAndWeeks+DATE(CalendarYear,10,1)-WEEKDAY(DATE(CalendarYear,10,1),(WeekStart="M")+1)+22</f>
        <v>45949</v>
      </c>
      <c r="D12" s="27">
        <v>45950</v>
      </c>
      <c r="E12" s="27">
        <v>45951</v>
      </c>
      <c r="F12" s="27">
        <v>45952</v>
      </c>
      <c r="G12" s="27">
        <v>45953</v>
      </c>
      <c r="H12" s="27">
        <v>45954</v>
      </c>
      <c r="I12" s="54">
        <v>45955</v>
      </c>
    </row>
    <row r="13" spans="2:9" s="52" customFormat="1" ht="75" customHeight="1" x14ac:dyDescent="0.15">
      <c r="B13" s="63"/>
      <c r="C13" s="103">
        <v>0.625</v>
      </c>
      <c r="D13" s="103"/>
      <c r="E13" s="103">
        <v>0.625</v>
      </c>
      <c r="F13" s="103">
        <v>0.625</v>
      </c>
      <c r="G13" s="103"/>
      <c r="H13" s="103"/>
      <c r="I13" s="55"/>
    </row>
    <row r="14" spans="2:9" ht="25" customHeight="1" x14ac:dyDescent="0.2">
      <c r="B14" s="62"/>
      <c r="C14" s="30">
        <f t="array" ref="C14:I14">DaysAndWeeks+DATE(CalendarYear,10,1)-WEEKDAY(DATE(CalendarYear,10,1),(WeekStart="M")+1)+29</f>
        <v>45956</v>
      </c>
      <c r="D14" s="27">
        <v>45957</v>
      </c>
      <c r="E14" s="27">
        <v>45958</v>
      </c>
      <c r="F14" s="110">
        <v>45959</v>
      </c>
      <c r="G14" s="110">
        <v>45960</v>
      </c>
      <c r="H14" s="110">
        <v>45961</v>
      </c>
      <c r="I14" s="56">
        <v>45962</v>
      </c>
    </row>
    <row r="15" spans="2:9" s="90" customFormat="1" ht="75" customHeight="1" x14ac:dyDescent="0.15">
      <c r="B15" s="91"/>
      <c r="C15" s="119"/>
      <c r="D15" s="103"/>
      <c r="E15" s="103">
        <v>0.625</v>
      </c>
      <c r="F15" s="103">
        <v>0.625</v>
      </c>
      <c r="G15" s="133"/>
      <c r="H15" s="103">
        <v>0.625</v>
      </c>
      <c r="I15" s="118"/>
    </row>
    <row r="16" spans="2:9" ht="25" customHeight="1" x14ac:dyDescent="0.2">
      <c r="B16" s="62"/>
      <c r="C16" s="35">
        <f t="array" ref="C16:I16">DaysAndWeeks+DATE(CalendarYear,10,1)-WEEKDAY(DATE(CalendarYear,10,1),(WeekStart="M")+1)+36</f>
        <v>45963</v>
      </c>
      <c r="D16" s="29">
        <v>45964</v>
      </c>
      <c r="E16" s="29">
        <v>45965</v>
      </c>
      <c r="F16" s="29">
        <v>45966</v>
      </c>
      <c r="G16" s="29">
        <v>45967</v>
      </c>
      <c r="H16" s="29">
        <v>45968</v>
      </c>
      <c r="I16" s="29">
        <v>45969</v>
      </c>
    </row>
    <row r="17" spans="2:9" s="52" customFormat="1" ht="75" customHeight="1" x14ac:dyDescent="0.15">
      <c r="B17" s="63"/>
      <c r="C17" s="129">
        <v>0.625</v>
      </c>
      <c r="D17" s="129"/>
      <c r="E17" s="129">
        <v>0.625</v>
      </c>
      <c r="F17" s="129">
        <v>0.625</v>
      </c>
      <c r="G17" s="51"/>
      <c r="H17" s="129"/>
      <c r="I17" s="51"/>
    </row>
    <row r="18" spans="2:9" s="1" customFormat="1" ht="125" customHeight="1" thickBot="1" x14ac:dyDescent="0.2">
      <c r="B18" s="61"/>
      <c r="C18" s="146" t="s">
        <v>5</v>
      </c>
      <c r="D18" s="147"/>
      <c r="E18" s="147"/>
      <c r="F18" s="147"/>
      <c r="G18" s="147"/>
      <c r="H18" s="147"/>
      <c r="I18" s="148"/>
    </row>
    <row r="19" spans="2:9" s="1" customFormat="1" ht="15" thickTop="1" x14ac:dyDescent="0.15">
      <c r="C19" s="3"/>
      <c r="D19" s="3"/>
      <c r="E19" s="3"/>
      <c r="F19" s="3"/>
      <c r="G19" s="3"/>
      <c r="H19" s="3"/>
      <c r="I19" s="3"/>
    </row>
    <row r="20" spans="2:9" s="1" customFormat="1" ht="14" x14ac:dyDescent="0.15">
      <c r="C20" s="3"/>
      <c r="D20" s="3"/>
      <c r="E20" s="3"/>
      <c r="F20" s="3"/>
      <c r="G20" s="3"/>
      <c r="H20" s="3"/>
      <c r="I20" s="3"/>
    </row>
    <row r="21" spans="2:9" s="1" customFormat="1" ht="70" customHeight="1" x14ac:dyDescent="0.15">
      <c r="C21" s="3"/>
      <c r="D21" s="3"/>
      <c r="E21" s="3"/>
      <c r="F21" s="3"/>
      <c r="G21" s="3"/>
      <c r="H21" s="3"/>
      <c r="I21" s="3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4 G15 I15 C16:I16 G17 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G16" sqref="G16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66"/>
      <c r="D1" s="66"/>
      <c r="E1" s="66"/>
      <c r="F1" s="66"/>
      <c r="G1" s="66"/>
      <c r="H1" s="66"/>
      <c r="I1" s="66"/>
    </row>
    <row r="2" spans="2:9" ht="75" customHeight="1" thickTop="1" x14ac:dyDescent="0.15">
      <c r="B2" s="61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3">
      <c r="B3" s="61"/>
      <c r="C3" s="45"/>
      <c r="D3" s="46"/>
      <c r="E3" s="46"/>
      <c r="F3" s="47"/>
      <c r="G3" s="12" t="s">
        <v>33</v>
      </c>
      <c r="H3" s="12" t="s">
        <v>34</v>
      </c>
      <c r="I3" s="65"/>
    </row>
    <row r="4" spans="2:9" ht="75" customHeight="1" x14ac:dyDescent="0.65">
      <c r="B4" s="61"/>
      <c r="C4" s="108">
        <f>CalendarYear</f>
        <v>2025</v>
      </c>
      <c r="D4" s="156" t="s">
        <v>35</v>
      </c>
      <c r="E4" s="156"/>
      <c r="F4" s="156"/>
      <c r="G4" s="156"/>
      <c r="H4" s="156"/>
      <c r="I4" s="107"/>
    </row>
    <row r="5" spans="2:9" ht="35" customHeight="1" x14ac:dyDescent="0.15">
      <c r="B5" s="61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26" customFormat="1" ht="25" customHeight="1" x14ac:dyDescent="0.2">
      <c r="B6" s="62"/>
      <c r="C6" s="35">
        <f t="array" ref="C6:I6">DaysAndWeeks+DATE(CalendarYear,11,1)-WEEKDAY(DATE(CalendarYear,11,1),(WeekStart="M")+1)+1</f>
        <v>45956</v>
      </c>
      <c r="D6" s="29">
        <v>45957</v>
      </c>
      <c r="E6" s="29">
        <v>45958</v>
      </c>
      <c r="F6" s="27">
        <v>45959</v>
      </c>
      <c r="G6" s="27">
        <v>45960</v>
      </c>
      <c r="H6" s="27">
        <v>45961</v>
      </c>
      <c r="I6" s="54">
        <v>45962</v>
      </c>
    </row>
    <row r="7" spans="2:9" s="52" customFormat="1" ht="75" customHeight="1" x14ac:dyDescent="0.15">
      <c r="B7" s="63"/>
      <c r="C7" s="53"/>
      <c r="D7" s="129"/>
      <c r="E7" s="129">
        <v>0.625</v>
      </c>
      <c r="F7" s="103">
        <v>0.625</v>
      </c>
      <c r="H7" s="103">
        <v>0.625</v>
      </c>
      <c r="I7" s="55"/>
    </row>
    <row r="8" spans="2:9" s="26" customFormat="1" ht="25" customHeight="1" x14ac:dyDescent="0.2">
      <c r="B8" s="62"/>
      <c r="C8" s="30">
        <f t="array" ref="C8:I8">DaysAndWeeks+DATE(CalendarYear,11,1)-WEEKDAY(DATE(CalendarYear,11,1),(WeekStart="M")+1)+8</f>
        <v>45963</v>
      </c>
      <c r="D8" s="27">
        <v>45964</v>
      </c>
      <c r="E8" s="93">
        <v>45965</v>
      </c>
      <c r="F8" s="27">
        <v>45966</v>
      </c>
      <c r="G8" s="27">
        <v>45967</v>
      </c>
      <c r="H8" s="27">
        <v>45968</v>
      </c>
      <c r="I8" s="54">
        <v>45969</v>
      </c>
    </row>
    <row r="9" spans="2:9" s="52" customFormat="1" ht="75" customHeight="1" x14ac:dyDescent="0.15">
      <c r="B9" s="63"/>
      <c r="C9" s="103">
        <v>0.625</v>
      </c>
      <c r="D9" s="103"/>
      <c r="E9" s="103">
        <v>0.625</v>
      </c>
      <c r="F9" s="103">
        <v>0.625</v>
      </c>
      <c r="H9" s="103"/>
      <c r="I9" s="55"/>
    </row>
    <row r="10" spans="2:9" s="26" customFormat="1" ht="25" customHeight="1" x14ac:dyDescent="0.2">
      <c r="B10" s="62"/>
      <c r="C10" s="30">
        <f t="array" ref="C10:I10">DaysAndWeeks+DATE(CalendarYear,11,1)-WEEKDAY(DATE(CalendarYear,11,1),(WeekStart="M")+1)+15</f>
        <v>45970</v>
      </c>
      <c r="D10" s="27">
        <v>45971</v>
      </c>
      <c r="E10" s="93">
        <v>45972</v>
      </c>
      <c r="F10" s="27">
        <v>45973</v>
      </c>
      <c r="G10" s="27">
        <v>45974</v>
      </c>
      <c r="H10" s="27">
        <v>45975</v>
      </c>
      <c r="I10" s="54">
        <v>45976</v>
      </c>
    </row>
    <row r="11" spans="2:9" s="52" customFormat="1" ht="75" customHeight="1" x14ac:dyDescent="0.15">
      <c r="B11" s="63"/>
      <c r="D11" s="119"/>
      <c r="E11" s="103">
        <v>0.625</v>
      </c>
      <c r="F11" s="103">
        <v>0.625</v>
      </c>
      <c r="H11" s="103">
        <v>0.625</v>
      </c>
      <c r="I11" s="55"/>
    </row>
    <row r="12" spans="2:9" s="26" customFormat="1" ht="25" customHeight="1" x14ac:dyDescent="0.2">
      <c r="B12" s="62"/>
      <c r="C12" s="30">
        <f t="array" ref="C12:I12">DaysAndWeeks+DATE(CalendarYear,11,1)-WEEKDAY(DATE(CalendarYear,11,1),(WeekStart="M")+1)+22</f>
        <v>45977</v>
      </c>
      <c r="D12" s="27">
        <v>45978</v>
      </c>
      <c r="E12" s="93">
        <v>45979</v>
      </c>
      <c r="F12" s="27">
        <v>45980</v>
      </c>
      <c r="G12" s="27">
        <v>45981</v>
      </c>
      <c r="H12" s="27">
        <v>45982</v>
      </c>
      <c r="I12" s="54">
        <v>45983</v>
      </c>
    </row>
    <row r="13" spans="2:9" s="52" customFormat="1" ht="75" customHeight="1" x14ac:dyDescent="0.15">
      <c r="B13" s="63"/>
      <c r="C13" s="103">
        <v>0.625</v>
      </c>
      <c r="D13" s="103"/>
      <c r="E13" s="103">
        <v>0.625</v>
      </c>
      <c r="F13" s="103">
        <v>0.625</v>
      </c>
      <c r="H13" s="103"/>
      <c r="I13" s="55"/>
    </row>
    <row r="14" spans="2:9" s="26" customFormat="1" ht="25" customHeight="1" x14ac:dyDescent="0.2">
      <c r="B14" s="62"/>
      <c r="C14" s="30">
        <f t="array" ref="C14:I14">DaysAndWeeks+DATE(CalendarYear,11,1)-WEEKDAY(DATE(CalendarYear,11,1),(WeekStart="M")+1)+29</f>
        <v>45984</v>
      </c>
      <c r="D14" s="27">
        <v>45985</v>
      </c>
      <c r="E14" s="93">
        <v>45986</v>
      </c>
      <c r="F14" s="27">
        <v>45987</v>
      </c>
      <c r="G14" s="93">
        <v>45988</v>
      </c>
      <c r="H14" s="110">
        <v>45989</v>
      </c>
      <c r="I14" s="126">
        <v>45990</v>
      </c>
    </row>
    <row r="15" spans="2:9" s="52" customFormat="1" ht="75" customHeight="1" x14ac:dyDescent="0.15">
      <c r="B15" s="63"/>
      <c r="D15" s="119"/>
      <c r="E15" s="103">
        <v>0.625</v>
      </c>
      <c r="F15" s="103">
        <v>0.625</v>
      </c>
      <c r="G15" s="103"/>
      <c r="H15" s="103">
        <v>0.625</v>
      </c>
      <c r="I15" s="137"/>
    </row>
    <row r="16" spans="2:9" s="26" customFormat="1" ht="25" customHeight="1" x14ac:dyDescent="0.2">
      <c r="B16" s="62"/>
      <c r="C16" s="135">
        <f t="array" ref="C16:I16">DaysAndWeeks+DATE(CalendarYear,11,1)-WEEKDAY(DATE(CalendarYear,11,1),(WeekStart="M")+1)+36</f>
        <v>45991</v>
      </c>
      <c r="D16" s="29">
        <v>45992</v>
      </c>
      <c r="E16" s="29">
        <v>45993</v>
      </c>
      <c r="F16" s="29">
        <v>45994</v>
      </c>
      <c r="G16" s="29">
        <v>45995</v>
      </c>
      <c r="H16" s="29">
        <v>45996</v>
      </c>
      <c r="I16" s="56">
        <v>45997</v>
      </c>
    </row>
    <row r="17" spans="2:9" s="52" customFormat="1" ht="75" customHeight="1" x14ac:dyDescent="0.15">
      <c r="B17" s="63"/>
      <c r="C17" s="103">
        <v>0.625</v>
      </c>
      <c r="D17" s="129"/>
      <c r="E17" s="129">
        <v>0.625</v>
      </c>
      <c r="F17" s="129">
        <v>0.625</v>
      </c>
      <c r="G17" s="51"/>
      <c r="H17" s="129"/>
      <c r="I17" s="57"/>
    </row>
    <row r="18" spans="2:9" ht="125" customHeight="1" thickBot="1" x14ac:dyDescent="0.2">
      <c r="B18" s="61"/>
      <c r="C18" s="146" t="s">
        <v>5</v>
      </c>
      <c r="D18" s="147"/>
      <c r="E18" s="147"/>
      <c r="F18" s="147"/>
      <c r="G18" s="147"/>
      <c r="H18" s="147"/>
      <c r="I18" s="148"/>
    </row>
    <row r="19" spans="2:9" ht="15" thickTop="1" x14ac:dyDescent="0.15">
      <c r="C19" s="3"/>
      <c r="D19" s="3"/>
      <c r="E19" s="3"/>
      <c r="F19" s="3"/>
      <c r="G19" s="3"/>
      <c r="H19" s="3"/>
      <c r="I19" s="3"/>
    </row>
    <row r="20" spans="2:9" x14ac:dyDescent="0.15">
      <c r="C20" s="3"/>
      <c r="D20" s="3"/>
      <c r="E20" s="3"/>
      <c r="F20" s="3"/>
      <c r="G20" s="3"/>
      <c r="H20" s="3"/>
      <c r="I20" s="3"/>
    </row>
    <row r="21" spans="2:9" ht="70" customHeight="1" x14ac:dyDescent="0.15">
      <c r="C21" s="3"/>
      <c r="D21" s="3"/>
      <c r="E21" s="3"/>
      <c r="F21" s="3"/>
      <c r="G21" s="3"/>
      <c r="H21" s="3"/>
      <c r="I21" s="3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4 I15 C16:I16 G17 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15" sqref="I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66"/>
      <c r="D1" s="66"/>
      <c r="E1" s="66"/>
      <c r="F1" s="66"/>
      <c r="G1" s="66"/>
      <c r="H1" s="66"/>
      <c r="I1" s="66"/>
    </row>
    <row r="2" spans="2:9" ht="75" customHeight="1" thickTop="1" x14ac:dyDescent="0.15">
      <c r="B2" s="61"/>
      <c r="C2" s="143" t="s">
        <v>40</v>
      </c>
      <c r="D2" s="144"/>
      <c r="E2" s="144"/>
      <c r="F2" s="144"/>
      <c r="G2" s="144"/>
      <c r="H2" s="144"/>
      <c r="I2" s="145"/>
    </row>
    <row r="3" spans="2:9" ht="20" customHeight="1" x14ac:dyDescent="0.3">
      <c r="B3" s="61"/>
      <c r="C3" s="45"/>
      <c r="D3" s="46"/>
      <c r="E3" s="46"/>
      <c r="F3" s="47"/>
      <c r="G3" s="12" t="s">
        <v>36</v>
      </c>
      <c r="H3" s="12" t="s">
        <v>37</v>
      </c>
      <c r="I3" s="65"/>
    </row>
    <row r="4" spans="2:9" ht="75" customHeight="1" x14ac:dyDescent="0.65">
      <c r="B4" s="61"/>
      <c r="C4" s="108">
        <f>CalendarYear</f>
        <v>2025</v>
      </c>
      <c r="D4" s="156" t="s">
        <v>38</v>
      </c>
      <c r="E4" s="156"/>
      <c r="F4" s="156"/>
      <c r="G4" s="156"/>
      <c r="H4" s="156"/>
      <c r="I4" s="107"/>
    </row>
    <row r="5" spans="2:9" ht="35" customHeight="1" x14ac:dyDescent="0.15">
      <c r="B5" s="61"/>
      <c r="C5" s="6" t="str">
        <f>WeekStart</f>
        <v>S</v>
      </c>
      <c r="D5" s="6" t="str">
        <f t="shared" ref="D5:I5" si="0">LEFT(TEXT(D6,"ddd"),1)</f>
        <v>M</v>
      </c>
      <c r="E5" s="6" t="str">
        <f t="shared" si="0"/>
        <v>T</v>
      </c>
      <c r="F5" s="6" t="str">
        <f t="shared" si="0"/>
        <v>W</v>
      </c>
      <c r="G5" s="6" t="str">
        <f t="shared" si="0"/>
        <v>T</v>
      </c>
      <c r="H5" s="6" t="str">
        <f t="shared" si="0"/>
        <v>F</v>
      </c>
      <c r="I5" s="7" t="str">
        <f t="shared" si="0"/>
        <v>S</v>
      </c>
    </row>
    <row r="6" spans="2:9" s="26" customFormat="1" ht="25" customHeight="1" x14ac:dyDescent="0.2">
      <c r="B6" s="62"/>
      <c r="C6" s="35">
        <f t="array" ref="C6:I6">DaysAndWeeks+DATE(CalendarYear,12,1)-WEEKDAY(DATE(CalendarYear,12,1),(WeekStart="M")+1)+1</f>
        <v>45991</v>
      </c>
      <c r="D6" s="110">
        <v>45992</v>
      </c>
      <c r="E6" s="110">
        <v>45993</v>
      </c>
      <c r="F6" s="110">
        <v>45994</v>
      </c>
      <c r="G6" s="110">
        <v>45995</v>
      </c>
      <c r="H6" s="27">
        <v>45996</v>
      </c>
      <c r="I6" s="54">
        <v>45997</v>
      </c>
    </row>
    <row r="7" spans="2:9" s="52" customFormat="1" ht="75" customHeight="1" x14ac:dyDescent="0.15">
      <c r="B7" s="63"/>
      <c r="C7" s="129">
        <v>0.625</v>
      </c>
      <c r="D7" s="103"/>
      <c r="E7" s="103">
        <v>0.625</v>
      </c>
      <c r="F7" s="103">
        <v>0.625</v>
      </c>
      <c r="G7" s="103"/>
      <c r="H7" s="103"/>
      <c r="I7" s="103"/>
    </row>
    <row r="8" spans="2:9" s="26" customFormat="1" ht="25" customHeight="1" x14ac:dyDescent="0.2">
      <c r="B8" s="62"/>
      <c r="C8" s="30">
        <f t="array" ref="C8:I8">DaysAndWeeks+DATE(CalendarYear,12,1)-WEEKDAY(DATE(CalendarYear,12,1),(WeekStart="M")+1)+8</f>
        <v>45998</v>
      </c>
      <c r="D8" s="27">
        <v>45999</v>
      </c>
      <c r="E8" s="30">
        <v>46000</v>
      </c>
      <c r="F8" s="27">
        <v>46001</v>
      </c>
      <c r="G8" s="27">
        <v>46002</v>
      </c>
      <c r="H8" s="27">
        <v>46003</v>
      </c>
      <c r="I8" s="54">
        <v>46004</v>
      </c>
    </row>
    <row r="9" spans="2:9" s="52" customFormat="1" ht="75" customHeight="1" x14ac:dyDescent="0.15">
      <c r="B9" s="63"/>
      <c r="C9" s="119"/>
      <c r="D9" s="103"/>
      <c r="E9" s="103">
        <v>0.625</v>
      </c>
      <c r="F9" s="103">
        <v>0.625</v>
      </c>
      <c r="G9" s="103"/>
      <c r="H9" s="103">
        <v>0.625</v>
      </c>
      <c r="I9" s="55"/>
    </row>
    <row r="10" spans="2:9" s="26" customFormat="1" ht="25" customHeight="1" x14ac:dyDescent="0.2">
      <c r="B10" s="62"/>
      <c r="C10" s="30">
        <f t="array" ref="C10:I10">DaysAndWeeks+DATE(CalendarYear,12,1)-WEEKDAY(DATE(CalendarYear,12,1),(WeekStart="M")+1)+15</f>
        <v>46005</v>
      </c>
      <c r="D10" s="27">
        <v>46006</v>
      </c>
      <c r="E10" s="27">
        <v>46007</v>
      </c>
      <c r="F10" s="27">
        <v>46008</v>
      </c>
      <c r="G10" s="27">
        <v>46009</v>
      </c>
      <c r="H10" s="27">
        <v>46010</v>
      </c>
      <c r="I10" s="54">
        <v>46011</v>
      </c>
    </row>
    <row r="11" spans="2:9" s="52" customFormat="1" ht="75" customHeight="1" x14ac:dyDescent="0.15">
      <c r="B11" s="63"/>
      <c r="C11" s="103">
        <v>0.625</v>
      </c>
      <c r="D11" s="103"/>
      <c r="E11" s="103">
        <v>0.625</v>
      </c>
      <c r="F11" s="103">
        <v>0.625</v>
      </c>
      <c r="G11" s="103"/>
      <c r="H11" s="103"/>
      <c r="I11" s="103"/>
    </row>
    <row r="12" spans="2:9" s="26" customFormat="1" ht="25" customHeight="1" x14ac:dyDescent="0.2">
      <c r="B12" s="62"/>
      <c r="C12" s="30">
        <f t="array" ref="C12:I12">DaysAndWeeks+DATE(CalendarYear,12,1)-WEEKDAY(DATE(CalendarYear,12,1),(WeekStart="M")+1)+22</f>
        <v>46012</v>
      </c>
      <c r="D12" s="27">
        <v>46013</v>
      </c>
      <c r="E12" s="27">
        <v>46014</v>
      </c>
      <c r="F12" s="27">
        <v>46015</v>
      </c>
      <c r="G12" s="27">
        <v>46016</v>
      </c>
      <c r="H12" s="27">
        <v>46017</v>
      </c>
      <c r="I12" s="54">
        <v>46018</v>
      </c>
    </row>
    <row r="13" spans="2:9" s="52" customFormat="1" ht="75" customHeight="1" x14ac:dyDescent="0.15">
      <c r="B13" s="63"/>
      <c r="C13" s="119"/>
      <c r="D13" s="103"/>
      <c r="E13" s="103">
        <v>0.625</v>
      </c>
      <c r="F13" s="103">
        <v>0.625</v>
      </c>
      <c r="G13" s="103"/>
      <c r="H13" s="103">
        <v>0.625</v>
      </c>
      <c r="I13" s="55"/>
    </row>
    <row r="14" spans="2:9" s="26" customFormat="1" ht="25" customHeight="1" x14ac:dyDescent="0.2">
      <c r="B14" s="62"/>
      <c r="C14" s="30">
        <f t="array" ref="C14:I14">DaysAndWeeks+DATE(CalendarYear,12,1)-WEEKDAY(DATE(CalendarYear,12,1),(WeekStart="M")+1)+29</f>
        <v>46019</v>
      </c>
      <c r="D14" s="27">
        <v>46020</v>
      </c>
      <c r="E14" s="27">
        <v>46021</v>
      </c>
      <c r="F14" s="27">
        <v>46022</v>
      </c>
      <c r="G14" s="29">
        <v>46023</v>
      </c>
      <c r="H14" s="29">
        <v>46024</v>
      </c>
      <c r="I14" s="56">
        <v>46025</v>
      </c>
    </row>
    <row r="15" spans="2:9" s="52" customFormat="1" ht="75" customHeight="1" x14ac:dyDescent="0.15">
      <c r="B15" s="63"/>
      <c r="C15" s="103">
        <v>0.625</v>
      </c>
      <c r="D15" s="103"/>
      <c r="E15" s="103">
        <v>0.625</v>
      </c>
      <c r="F15" s="103">
        <v>0.625</v>
      </c>
      <c r="G15" s="129"/>
      <c r="H15" s="129"/>
      <c r="I15" s="129"/>
    </row>
    <row r="16" spans="2:9" s="26" customFormat="1" ht="25" customHeight="1" x14ac:dyDescent="0.2">
      <c r="B16" s="62"/>
      <c r="C16" s="35">
        <f t="array" ref="C16:I16">DaysAndWeeks+DATE(CalendarYear,12,1)-WEEKDAY(DATE(CalendarYear,12,1),(WeekStart="M")+1)+36</f>
        <v>46026</v>
      </c>
      <c r="D16" s="29">
        <v>46027</v>
      </c>
      <c r="E16" s="50">
        <v>46028</v>
      </c>
      <c r="F16" s="29">
        <v>46029</v>
      </c>
      <c r="G16" s="29">
        <v>46030</v>
      </c>
      <c r="H16" s="50">
        <v>46031</v>
      </c>
      <c r="I16" s="56">
        <v>46032</v>
      </c>
    </row>
    <row r="17" spans="2:9" s="52" customFormat="1" ht="75" customHeight="1" x14ac:dyDescent="0.15">
      <c r="B17" s="63"/>
      <c r="C17" s="138"/>
      <c r="D17" s="129"/>
      <c r="E17" s="129">
        <v>0.625</v>
      </c>
      <c r="F17" s="129">
        <v>0.625</v>
      </c>
      <c r="G17" s="51"/>
      <c r="H17" s="129" t="s">
        <v>39</v>
      </c>
      <c r="I17" s="57"/>
    </row>
    <row r="18" spans="2:9" ht="125" customHeight="1" thickBot="1" x14ac:dyDescent="0.2">
      <c r="B18" s="61"/>
      <c r="C18" s="146" t="s">
        <v>5</v>
      </c>
      <c r="D18" s="147"/>
      <c r="E18" s="147"/>
      <c r="F18" s="147"/>
      <c r="G18" s="147"/>
      <c r="H18" s="147"/>
      <c r="I18" s="148"/>
    </row>
    <row r="19" spans="2:9" ht="15" thickTop="1" x14ac:dyDescent="0.15">
      <c r="C19" s="3"/>
      <c r="D19" s="3"/>
      <c r="E19" s="3"/>
      <c r="F19" s="3"/>
      <c r="G19" s="3"/>
      <c r="H19" s="3"/>
      <c r="I19" s="3"/>
    </row>
    <row r="20" spans="2:9" x14ac:dyDescent="0.15">
      <c r="C20" s="3"/>
      <c r="D20" s="3"/>
      <c r="E20" s="3"/>
      <c r="F20" s="3"/>
      <c r="G20" s="3"/>
      <c r="H20" s="3"/>
      <c r="I20" s="3"/>
    </row>
    <row r="21" spans="2:9" ht="66" customHeight="1" x14ac:dyDescent="0.15">
      <c r="C21" s="3"/>
      <c r="D21" s="3"/>
      <c r="E21" s="3"/>
      <c r="F21" s="3"/>
      <c r="G21" s="3"/>
      <c r="H21" s="3"/>
      <c r="I21" s="3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C16:I16 G17 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937504-F1EA-46A5-B9BF-E1DC518AC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54C7F9-FE0D-4D11-BD2E-35CDFCA06F89}">
  <ds:schemaRefs>
    <ds:schemaRef ds:uri="http://purl.org/dc/dcmitype/"/>
    <ds:schemaRef ds:uri="2f96a5e1-f937-4986-abb4-c031ec480b26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088389d-f9a4-418b-a8d8-f0ed3f71e6c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B29662-14CD-45D1-BA66-8FAC675A1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Catherine Mahanna</cp:lastModifiedBy>
  <cp:revision/>
  <dcterms:created xsi:type="dcterms:W3CDTF">2016-11-11T22:25:27Z</dcterms:created>
  <dcterms:modified xsi:type="dcterms:W3CDTF">2025-03-06T21:59:36Z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