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colon/Library/CloudStorage/OneDrive-OurFamilyWizard/Desktop/"/>
    </mc:Choice>
  </mc:AlternateContent>
  <xr:revisionPtr revIDLastSave="0" documentId="8_{B252E77E-23FC-254B-9E2C-A71E6752C855}" xr6:coauthVersionLast="47" xr6:coauthVersionMax="47" xr10:uidLastSave="{00000000-0000-0000-0000-000000000000}"/>
  <bookViews>
    <workbookView xWindow="-680" yWindow="760" windowWidth="31540" windowHeight="20100" activeTab="11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/>
  <c r="C5" i="5"/>
  <c r="C5" i="13"/>
  <c r="C5" i="12"/>
  <c r="C5" i="11"/>
  <c r="C5" i="10"/>
  <c r="C5" i="9"/>
  <c r="C5" i="8"/>
  <c r="C5" i="7"/>
  <c r="C5" i="6"/>
  <c r="C5" i="4"/>
  <c r="C5" i="3"/>
  <c r="C5" i="2"/>
  <c r="C4" i="2"/>
  <c r="C16" i="3" a="1"/>
  <c r="I16" i="3"/>
  <c r="C6" i="7" a="1"/>
  <c r="H6" i="7"/>
  <c r="H5" i="7"/>
  <c r="C6" i="12" a="1"/>
  <c r="H6" i="12"/>
  <c r="H5" i="12"/>
  <c r="H8" i="9"/>
  <c r="C6" i="3" a="1"/>
  <c r="I6" i="3"/>
  <c r="I5" i="3"/>
  <c r="C14" i="4" a="1"/>
  <c r="C14" i="4"/>
  <c r="C14" i="7" a="1"/>
  <c r="E14" i="7"/>
  <c r="C14" i="13" a="1"/>
  <c r="D14" i="13"/>
  <c r="C14" i="3" a="1"/>
  <c r="C14" i="3"/>
  <c r="C12" i="9" a="1"/>
  <c r="I12" i="9"/>
  <c r="C10" i="9" a="1"/>
  <c r="C10" i="9"/>
  <c r="C6" i="5" a="1"/>
  <c r="G6" i="5"/>
  <c r="G5" i="5"/>
  <c r="C10" i="5" a="1"/>
  <c r="H10" i="5"/>
  <c r="C6" i="10" a="1"/>
  <c r="G6" i="10"/>
  <c r="G5" i="10"/>
  <c r="C12" i="5" a="1"/>
  <c r="F12" i="5"/>
  <c r="C14" i="10" a="1"/>
  <c r="D14" i="10"/>
  <c r="C6" i="6" a="1"/>
  <c r="C6" i="6"/>
  <c r="C10" i="2" a="1"/>
  <c r="F10" i="2"/>
  <c r="C16" i="6" a="1"/>
  <c r="F16" i="6"/>
  <c r="C6" i="13" a="1"/>
  <c r="H6" i="13"/>
  <c r="H5" i="13"/>
  <c r="F12" i="9"/>
  <c r="G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/>
  <c r="I5" i="11"/>
  <c r="C8" i="12" a="1"/>
  <c r="C8" i="13" a="1"/>
  <c r="C16" i="13" a="1"/>
  <c r="C16" i="11" a="1"/>
  <c r="E16" i="11"/>
  <c r="C8" i="3" a="1"/>
  <c r="C10" i="6" a="1"/>
  <c r="C14" i="8" a="1"/>
  <c r="C8" i="11" a="1"/>
  <c r="C8" i="11"/>
  <c r="C10" i="12" a="1"/>
  <c r="C16" i="8" a="1"/>
  <c r="C6" i="4" a="1"/>
  <c r="C8" i="4" a="1"/>
  <c r="C14" i="5" a="1"/>
  <c r="C8" i="7" a="1"/>
  <c r="C14" i="9" a="1"/>
  <c r="C10" i="10" a="1"/>
  <c r="C10" i="11" a="1"/>
  <c r="F10" i="1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H12" i="11"/>
  <c r="C16" i="4" a="1"/>
  <c r="C6" i="2" a="1"/>
  <c r="C8" i="5" a="1"/>
  <c r="C16" i="5" a="1"/>
  <c r="C16" i="9" a="1"/>
  <c r="C12" i="10" a="1"/>
  <c r="C14" i="11" a="1"/>
  <c r="H14" i="1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I6" i="12"/>
  <c r="I5" i="12"/>
  <c r="F6" i="12"/>
  <c r="F5" i="12"/>
  <c r="C6" i="12"/>
  <c r="G14" i="4"/>
  <c r="D6" i="7"/>
  <c r="D5" i="7"/>
  <c r="C6" i="7"/>
  <c r="I6" i="7"/>
  <c r="I5" i="7"/>
  <c r="E16" i="3"/>
  <c r="H10" i="11"/>
  <c r="E6" i="3"/>
  <c r="E5" i="3"/>
  <c r="F6" i="3"/>
  <c r="F5" i="3"/>
  <c r="C12" i="9"/>
  <c r="H14" i="4"/>
  <c r="C10" i="11"/>
  <c r="H6" i="3"/>
  <c r="H5" i="3"/>
  <c r="E6" i="11"/>
  <c r="E5" i="11"/>
  <c r="E14" i="4"/>
  <c r="G10" i="11"/>
  <c r="D14" i="3"/>
  <c r="D16" i="11"/>
  <c r="H14" i="3"/>
  <c r="F16" i="11"/>
  <c r="G16" i="11"/>
  <c r="F14" i="3"/>
  <c r="E10" i="11"/>
  <c r="H16" i="11"/>
  <c r="H6" i="5"/>
  <c r="H5" i="5"/>
  <c r="D10" i="11"/>
  <c r="H16" i="3"/>
  <c r="G14" i="3"/>
  <c r="C12" i="11"/>
  <c r="E12" i="11"/>
  <c r="G14" i="7"/>
  <c r="I10" i="11"/>
  <c r="H14" i="7"/>
  <c r="H8" i="11"/>
  <c r="I14" i="3"/>
  <c r="E6" i="10"/>
  <c r="E5" i="10"/>
  <c r="F14" i="11"/>
  <c r="F12" i="11"/>
  <c r="D12" i="11"/>
  <c r="E14" i="11"/>
  <c r="C14" i="11"/>
  <c r="F14" i="13"/>
  <c r="G14" i="11"/>
  <c r="C16" i="3"/>
  <c r="F6" i="7"/>
  <c r="F5" i="7"/>
  <c r="E6" i="7"/>
  <c r="E5" i="7"/>
  <c r="E16" i="6"/>
  <c r="H10" i="9"/>
  <c r="H6" i="10"/>
  <c r="H5" i="10"/>
  <c r="H12" i="9"/>
  <c r="F6" i="10"/>
  <c r="F5" i="10"/>
  <c r="I14" i="7"/>
  <c r="I10" i="9"/>
  <c r="C16" i="6"/>
  <c r="H10" i="2"/>
  <c r="I14" i="4"/>
  <c r="I6" i="10"/>
  <c r="I5" i="10"/>
  <c r="E14" i="3"/>
  <c r="E12" i="9"/>
  <c r="H12" i="5"/>
  <c r="D6" i="3"/>
  <c r="D5" i="3"/>
  <c r="I14" i="13"/>
  <c r="E6" i="12"/>
  <c r="E5" i="12"/>
  <c r="I6" i="5"/>
  <c r="I5" i="5"/>
  <c r="G6" i="3"/>
  <c r="G5" i="3"/>
  <c r="G6" i="7"/>
  <c r="G5" i="7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/>
  <c r="E14" i="13"/>
  <c r="E10" i="5"/>
  <c r="D6" i="12"/>
  <c r="D5" i="12"/>
  <c r="E6" i="5"/>
  <c r="E5" i="5"/>
  <c r="C6" i="3"/>
  <c r="G14" i="13"/>
  <c r="F14" i="10"/>
  <c r="H14" i="13"/>
  <c r="D14" i="7"/>
  <c r="F14" i="7"/>
  <c r="G14" i="10"/>
  <c r="D16" i="6"/>
  <c r="C14" i="10"/>
  <c r="G6" i="12"/>
  <c r="G5" i="12"/>
  <c r="I10" i="2"/>
  <c r="G12" i="9"/>
  <c r="D6" i="5"/>
  <c r="D5" i="5"/>
  <c r="G16" i="6"/>
  <c r="I16" i="6"/>
  <c r="F6" i="5"/>
  <c r="F5" i="5"/>
  <c r="H16" i="6"/>
  <c r="C6" i="13"/>
  <c r="D6" i="13"/>
  <c r="D5" i="13"/>
  <c r="I12" i="5"/>
  <c r="G12" i="5"/>
  <c r="D12" i="5"/>
  <c r="E12" i="5"/>
  <c r="C12" i="5"/>
  <c r="E6" i="13"/>
  <c r="E5" i="13"/>
  <c r="H14" i="10"/>
  <c r="D10" i="2"/>
  <c r="G10" i="5"/>
  <c r="F6" i="13"/>
  <c r="F5" i="13"/>
  <c r="C6" i="5"/>
  <c r="I14" i="10"/>
  <c r="G6" i="13"/>
  <c r="G5" i="13"/>
  <c r="E6" i="6"/>
  <c r="E5" i="6"/>
  <c r="F6" i="6"/>
  <c r="F5" i="6"/>
  <c r="G6" i="6"/>
  <c r="G5" i="6"/>
  <c r="I6" i="6"/>
  <c r="I5" i="6"/>
  <c r="H6" i="6"/>
  <c r="H5" i="6"/>
  <c r="E10" i="9"/>
  <c r="F10" i="9"/>
  <c r="D10" i="9"/>
  <c r="G10" i="9"/>
  <c r="C10" i="2"/>
  <c r="D6" i="10"/>
  <c r="D5" i="10"/>
  <c r="I6" i="13"/>
  <c r="I5" i="13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/>
  <c r="G6" i="2"/>
  <c r="G5" i="2"/>
  <c r="D6" i="2"/>
  <c r="D5" i="2"/>
  <c r="C6" i="2"/>
  <c r="F6" i="2"/>
  <c r="F5" i="2"/>
  <c r="I6" i="2"/>
  <c r="I5" i="2"/>
  <c r="H6" i="2"/>
  <c r="H5" i="2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/>
  <c r="I6" i="8"/>
  <c r="I5" i="8"/>
  <c r="G6" i="8"/>
  <c r="G5" i="8"/>
  <c r="F6" i="8"/>
  <c r="F5" i="8"/>
  <c r="C6" i="8"/>
  <c r="E6" i="8"/>
  <c r="E5" i="8"/>
  <c r="D6" i="8"/>
  <c r="D5" i="8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/>
  <c r="D6" i="9"/>
  <c r="D5" i="9"/>
  <c r="C6" i="9"/>
  <c r="I6" i="9"/>
  <c r="I5" i="9"/>
  <c r="H6" i="9"/>
  <c r="H5" i="9"/>
  <c r="F6" i="9"/>
  <c r="F5" i="9"/>
  <c r="G6" i="9"/>
  <c r="G5" i="9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/>
  <c r="I6" i="4"/>
  <c r="I5" i="4"/>
  <c r="D6" i="4"/>
  <c r="D5" i="4"/>
  <c r="C6" i="4"/>
  <c r="F6" i="4"/>
  <c r="F5" i="4"/>
  <c r="E6" i="4"/>
  <c r="E5" i="4"/>
  <c r="H6" i="4"/>
  <c r="H5" i="4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/>
  <c r="E8" i="11"/>
  <c r="F8" i="11"/>
  <c r="I8" i="11"/>
  <c r="C6" i="11"/>
  <c r="D6" i="11"/>
  <c r="D5" i="1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<sst xmlns="http://schemas.openxmlformats.org/spreadsheetml/2006/main" count="62" uniqueCount="40">
  <si>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</si>
  <si>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</si>
  <si>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</si>
  <si>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</si>
  <si>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</si>
  <si>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</si>
  <si>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</si>
  <si>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</si>
  <si>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</si>
  <si>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</si>
  <si>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</si>
  <si>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</si>
  <si>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</si>
  <si>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</si>
  <si>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</si>
  <si>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</si>
  <si>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</si>
  <si>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</si>
  <si>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</si>
  <si>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</si>
  <si>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</si>
  <si>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</si>
  <si>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</si>
  <si>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</si>
  <si>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</si>
  <si>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</si>
  <si>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</si>
  <si>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</si>
  <si>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</si>
  <si>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</si>
  <si>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</si>
  <si>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</si>
  <si>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</si>
  <si>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</si>
  <si>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</si>
  <si>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</si>
  <si>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</si>
  <si>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</si>
  <si>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</si>
  <si>
    <t>One Weekend Visit/Month Parenting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</si>
</sst>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43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  <font>
      <sz val="9"/>
      <color rgb="FF000000"/>
      <name val="Montserrat Regular"/>
      <charset val="1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3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  <border>
      <left style="hair">
        <color rgb="FF8FC6E2"/>
      </left>
      <right style="hair">
        <color rgb="FF8FC6E2"/>
      </right>
      <top/>
      <bottom style="thin">
        <color theme="4" tint="0.59999389629810485"/>
      </bottom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96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16" xfId="0" applyFont="1" applyBorder="1">
      <alignment horizontal="left" vertical="top" wrapText="1" indent="1"/>
    </xf>
    <xf numFmtId="0" fontId="12" fillId="0" borderId="9" xfId="11" applyFont="1" applyBorder="1">
      <alignment horizontal="left" vertical="top" wrapText="1" indent="1"/>
    </xf>
    <xf numFmtId="0" fontId="12" fillId="0" borderId="16" xfId="11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4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0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3" borderId="24" xfId="11" applyFont="1" applyFill="1" applyBorder="1" applyAlignment="1">
      <alignment horizontal="left" vertical="top" wrapText="1"/>
    </xf>
    <xf numFmtId="0" fontId="35" fillId="2" borderId="0" xfId="7" applyFont="1" applyFill="1" applyBorder="1">
      <alignment horizontal="left"/>
    </xf>
    <xf numFmtId="0" fontId="36" fillId="2" borderId="0" xfId="5" applyFont="1" applyFill="1">
      <alignment horizontal="center" vertical="top"/>
    </xf>
    <xf numFmtId="0" fontId="37" fillId="2" borderId="0" xfId="3" applyFont="1" applyFill="1" applyAlignment="1">
      <alignment horizontal="left" vertical="top"/>
    </xf>
    <xf numFmtId="0" fontId="11" fillId="0" borderId="9" xfId="11" applyFont="1" applyBorder="1" applyAlignment="1">
      <alignment horizontal="left" vertical="top" wrapText="1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4" xfId="11" applyFont="1" applyFill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164" fontId="27" fillId="3" borderId="15" xfId="4" applyFont="1" applyFill="1" applyBorder="1">
      <alignment horizontal="left" inden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6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0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0" fontId="33" fillId="3" borderId="16" xfId="11" applyFont="1" applyFill="1" applyBorder="1" applyAlignment="1">
      <alignment horizontal="left" vertical="top" wrapText="1"/>
    </xf>
    <xf numFmtId="0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0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28" fillId="2" borderId="0" xfId="7" applyFont="1" applyFill="1" applyBorder="1">
      <alignment horizontal="left"/>
    </xf>
    <xf numFmtId="0" fontId="38" fillId="2" borderId="0" xfId="5" applyFont="1" applyFill="1">
      <alignment horizontal="center" vertical="top"/>
    </xf>
    <xf numFmtId="0" fontId="39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8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0" fontId="13" fillId="0" borderId="18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0" fontId="33" fillId="0" borderId="11" xfId="11" applyFont="1" applyBorder="1" applyAlignment="1">
      <alignment horizontal="left" vertical="top" wrapText="1"/>
    </xf>
    <xf numFmtId="164" fontId="27" fillId="0" borderId="25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0" fontId="33" fillId="0" borderId="0" xfId="11" applyFont="1" applyBorder="1" applyAlignment="1">
      <alignment horizontal="left" vertical="top" wrapText="1"/>
    </xf>
    <xf numFmtId="18" fontId="11" fillId="5" borderId="15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center" vertical="top" wrapTex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11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0" borderId="26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33" fillId="0" borderId="24" xfId="11" applyNumberFormat="1" applyFont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3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40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1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0" fontId="12" fillId="3" borderId="16" xfId="0" applyFont="1" applyFill="1" applyBorder="1">
      <alignment horizontal="left" vertical="top" wrapText="1" indent="1"/>
    </xf>
    <xf numFmtId="164" fontId="23" fillId="3" borderId="13" xfId="4" applyFont="1" applyFill="1" applyBorder="1">
      <alignment horizontal="left" indent="1"/>
    </xf>
    <xf numFmtId="18" fontId="11" fillId="3" borderId="17" xfId="11" applyNumberFormat="1" applyFont="1" applyFill="1" applyBorder="1" applyAlignment="1">
      <alignment horizontal="center" vertical="top" wrapText="1"/>
    </xf>
    <xf numFmtId="164" fontId="27" fillId="5" borderId="13" xfId="4" applyFont="1" applyFill="1" applyBorder="1">
      <alignment horizontal="left" indent="1"/>
    </xf>
    <xf numFmtId="18" fontId="11" fillId="3" borderId="9" xfId="11" applyNumberFormat="1" applyFont="1" applyFill="1" applyBorder="1" applyAlignment="1">
      <alignment horizontal="center" vertical="top" wrapText="1"/>
    </xf>
    <xf numFmtId="164" fontId="30" fillId="0" borderId="8" xfId="4" applyFont="1" applyFill="1" applyBorder="1">
      <alignment horizontal="left" indent="1"/>
    </xf>
    <xf numFmtId="0" fontId="34" fillId="0" borderId="9" xfId="11" applyFont="1" applyBorder="1" applyAlignment="1">
      <alignment horizontal="left" vertical="top" wrapText="1"/>
    </xf>
    <xf numFmtId="18" fontId="11" fillId="3" borderId="30" xfId="11" applyNumberFormat="1" applyFont="1" applyFill="1" applyBorder="1" applyAlignment="1">
      <alignment horizontal="center" vertical="top" wrapText="1"/>
    </xf>
    <xf numFmtId="0" fontId="11" fillId="3" borderId="9" xfId="11" applyFont="1" applyFill="1" applyBorder="1" applyAlignment="1">
      <alignment horizontal="center" vertical="top" wrapText="1"/>
    </xf>
    <xf numFmtId="0" fontId="11" fillId="3" borderId="16" xfId="11" applyFont="1" applyFill="1" applyBorder="1">
      <alignment horizontal="left" vertical="top" wrapText="1" indent="1"/>
    </xf>
    <xf numFmtId="19" fontId="11" fillId="3" borderId="24" xfId="11" applyNumberFormat="1" applyFont="1" applyFill="1" applyBorder="1" applyAlignment="1">
      <alignment horizontal="center" vertical="top" wrapText="1"/>
    </xf>
    <xf numFmtId="18" fontId="42" fillId="0" borderId="24" xfId="0" applyNumberFormat="1" applyFont="1" applyBorder="1" applyAlignment="1">
      <alignment horizontal="center" vertical="top" wrapText="1"/>
    </xf>
    <xf numFmtId="18" fontId="11" fillId="0" borderId="32" xfId="11" applyNumberFormat="1" applyFont="1" applyBorder="1" applyAlignment="1">
      <alignment horizontal="center" vertical="top" wrapText="1"/>
    </xf>
    <xf numFmtId="18" fontId="11" fillId="5" borderId="9" xfId="0" applyNumberFormat="1" applyFont="1" applyFill="1" applyBorder="1" applyAlignment="1">
      <alignment horizontal="center" vertical="top" wrapText="1"/>
    </xf>
    <xf numFmtId="0" fontId="33" fillId="5" borderId="9" xfId="11" applyFont="1" applyFill="1" applyBorder="1" applyAlignment="1">
      <alignment horizontal="left" vertical="top" wrapText="1"/>
    </xf>
    <xf numFmtId="164" fontId="30" fillId="5" borderId="8" xfId="4" applyFont="1" applyFill="1" applyBorder="1">
      <alignment horizontal="left" indent="1"/>
    </xf>
    <xf numFmtId="18" fontId="11" fillId="3" borderId="12" xfId="11" applyNumberFormat="1" applyFont="1" applyFill="1" applyBorder="1" applyAlignment="1">
      <alignment horizontal="center" vertical="top" wrapText="1"/>
    </xf>
    <xf numFmtId="19" fontId="33" fillId="5" borderId="9" xfId="11" applyNumberFormat="1" applyFont="1" applyFill="1" applyBorder="1" applyAlignment="1">
      <alignment horizontal="center" vertical="top" wrapText="1"/>
    </xf>
    <xf numFmtId="0" fontId="33" fillId="3" borderId="0" xfId="0" applyFont="1" applyFill="1" applyAlignment="1">
      <alignment horizontal="left" vertical="top" wrapText="1"/>
    </xf>
    <xf numFmtId="164" fontId="27" fillId="5" borderId="14" xfId="4" applyFont="1" applyFill="1" applyBorder="1">
      <alignment horizontal="left" indent="1"/>
    </xf>
    <xf numFmtId="0" fontId="33" fillId="5" borderId="16" xfId="11" applyFont="1" applyFill="1" applyBorder="1" applyAlignment="1">
      <alignment horizontal="left" vertical="top" wrapText="1"/>
    </xf>
    <xf numFmtId="0" fontId="13" fillId="5" borderId="24" xfId="11" applyFont="1" applyFill="1" applyBorder="1">
      <alignment horizontal="left" vertical="top" wrapText="1" indent="1"/>
    </xf>
    <xf numFmtId="164" fontId="27" fillId="5" borderId="25" xfId="4" applyFont="1" applyFill="1" applyBorder="1">
      <alignment horizontal="left" indent="1"/>
    </xf>
    <xf numFmtId="18" fontId="33" fillId="3" borderId="24" xfId="11" applyNumberFormat="1" applyFont="1" applyFill="1" applyBorder="1" applyAlignment="1">
      <alignment horizontal="center" vertical="top" wrapText="1"/>
    </xf>
    <xf numFmtId="164" fontId="27" fillId="3" borderId="26" xfId="4" applyFont="1" applyFill="1" applyBorder="1">
      <alignment horizontal="left" indent="1"/>
    </xf>
    <xf numFmtId="0" fontId="33" fillId="5" borderId="12" xfId="11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11" fillId="5" borderId="24" xfId="11" applyFont="1" applyFill="1" applyBorder="1" applyAlignment="1">
      <alignment horizontal="left" vertical="top" wrapText="1"/>
    </xf>
    <xf numFmtId="0" fontId="11" fillId="5" borderId="9" xfId="11" applyFont="1" applyFill="1" applyBorder="1" applyAlignment="1">
      <alignment horizontal="left" vertical="top" wrapText="1"/>
    </xf>
    <xf numFmtId="19" fontId="11" fillId="5" borderId="9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left" vertical="top" wrapText="1"/>
    </xf>
    <xf numFmtId="0" fontId="33" fillId="5" borderId="0" xfId="11" applyFont="1" applyFill="1" applyBorder="1" applyAlignment="1">
      <alignment horizontal="left" vertical="top" wrapText="1"/>
    </xf>
    <xf numFmtId="18" fontId="33" fillId="5" borderId="9" xfId="11" applyNumberFormat="1" applyFont="1" applyFill="1" applyBorder="1" applyAlignment="1">
      <alignment horizontal="center" vertical="top" wrapText="1"/>
    </xf>
    <xf numFmtId="164" fontId="27" fillId="5" borderId="0" xfId="4" applyFont="1" applyFill="1" applyBorder="1">
      <alignment horizontal="left" indent="1"/>
    </xf>
    <xf numFmtId="0" fontId="33" fillId="3" borderId="16" xfId="0" applyFont="1" applyFill="1" applyBorder="1" applyAlignment="1">
      <alignment horizontal="left" vertical="top" wrapText="1"/>
    </xf>
    <xf numFmtId="0" fontId="11" fillId="5" borderId="16" xfId="11" applyFont="1" applyFill="1" applyBorder="1" applyAlignment="1">
      <alignment horizontal="left" vertical="top" wrapText="1"/>
    </xf>
    <xf numFmtId="18" fontId="42" fillId="3" borderId="24" xfId="0" applyNumberFormat="1" applyFont="1" applyFill="1" applyBorder="1" applyAlignment="1">
      <alignment horizontal="center" vertical="top" wrapText="1"/>
    </xf>
    <xf numFmtId="0" fontId="11" fillId="5" borderId="9" xfId="11" applyFont="1" applyFill="1" applyBorder="1" applyAlignment="1">
      <alignment horizontal="center" vertical="top" wrapText="1"/>
    </xf>
    <xf numFmtId="0" fontId="11" fillId="5" borderId="0" xfId="11" applyFont="1" applyFill="1" applyBorder="1" applyAlignment="1">
      <alignment horizontal="left" vertical="top" wrapText="1"/>
    </xf>
    <xf numFmtId="18" fontId="33" fillId="5" borderId="24" xfId="11" applyNumberFormat="1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0" fontId="15" fillId="6" borderId="21" xfId="11" applyFont="1" applyFill="1" applyBorder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0" fontId="15" fillId="6" borderId="29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  <xf numFmtId="0" fontId="13" fillId="3" borderId="12" xfId="11" applyFont="1" applyFill="1" applyBorder="1" applyAlignment="1">
      <alignment horizontal="left" vertical="top" wrapText="1"/>
    </xf>
    <xf numFmtId="0" fontId="13" fillId="3" borderId="0" xfId="0" applyFont="1" applyFill="1">
      <alignment horizontal="left" vertical="top" wrapText="1" indent="1"/>
    </xf>
    <xf numFmtId="18" fontId="11" fillId="3" borderId="15" xfId="11" applyNumberFormat="1" applyFont="1" applyFill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left" vertical="top" wrapText="1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4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8FC6E2"/>
      <color rgb="FF172743"/>
      <color rgb="FFCFAA49"/>
      <color rgb="FF6E8390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8</xdr:row>
      <xdr:rowOff>189948</xdr:rowOff>
    </xdr:from>
    <xdr:to>
      <xdr:col>8</xdr:col>
      <xdr:colOff>2463800</xdr:colOff>
      <xdr:row>8</xdr:row>
      <xdr:rowOff>507448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33400" y="4571448"/>
          <a:ext cx="1732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 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191054</xdr:rowOff>
    </xdr:from>
    <xdr:to>
      <xdr:col>7</xdr:col>
      <xdr:colOff>1231900</xdr:colOff>
      <xdr:row>10</xdr:row>
      <xdr:rowOff>508554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33400" y="5842554"/>
          <a:ext cx="13614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1308100</xdr:colOff>
      <xdr:row>12</xdr:row>
      <xdr:rowOff>164549</xdr:rowOff>
    </xdr:from>
    <xdr:to>
      <xdr:col>9</xdr:col>
      <xdr:colOff>12700</xdr:colOff>
      <xdr:row>12</xdr:row>
      <xdr:rowOff>482048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841500" y="7086049"/>
          <a:ext cx="16040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181648</xdr:rowOff>
    </xdr:from>
    <xdr:to>
      <xdr:col>9</xdr:col>
      <xdr:colOff>12700</xdr:colOff>
      <xdr:row>14</xdr:row>
      <xdr:rowOff>499147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33400" y="8373148"/>
          <a:ext cx="17348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1244599</xdr:colOff>
      <xdr:row>10</xdr:row>
      <xdr:rowOff>190500</xdr:rowOff>
    </xdr:from>
    <xdr:to>
      <xdr:col>9</xdr:col>
      <xdr:colOff>0</xdr:colOff>
      <xdr:row>10</xdr:row>
      <xdr:rowOff>508000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160499" y="5842000"/>
          <a:ext cx="37084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6</xdr:row>
      <xdr:rowOff>171880</xdr:rowOff>
    </xdr:from>
    <xdr:to>
      <xdr:col>8</xdr:col>
      <xdr:colOff>2463800</xdr:colOff>
      <xdr:row>6</xdr:row>
      <xdr:rowOff>486993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33400" y="3283380"/>
          <a:ext cx="17322800" cy="31511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2179324</xdr:colOff>
      <xdr:row>1</xdr:row>
      <xdr:rowOff>629559</xdr:rowOff>
    </xdr:from>
    <xdr:to>
      <xdr:col>8</xdr:col>
      <xdr:colOff>2154378</xdr:colOff>
      <xdr:row>3</xdr:row>
      <xdr:rowOff>593115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A3E12-4681-BA4B-9188-2FC6ACCB2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5224" y="820059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25401</xdr:colOff>
      <xdr:row>12</xdr:row>
      <xdr:rowOff>165100</xdr:rowOff>
    </xdr:from>
    <xdr:to>
      <xdr:col>2</xdr:col>
      <xdr:colOff>1308101</xdr:colOff>
      <xdr:row>12</xdr:row>
      <xdr:rowOff>482600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5CA6D49-C38D-BF4A-B884-D9EEF8A283E2}"/>
            </a:ext>
          </a:extLst>
        </xdr:cNvPr>
        <xdr:cNvSpPr txBox="1"/>
      </xdr:nvSpPr>
      <xdr:spPr>
        <a:xfrm>
          <a:off x="558801" y="7086600"/>
          <a:ext cx="1282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16</xdr:row>
      <xdr:rowOff>257848</xdr:rowOff>
    </xdr:from>
    <xdr:to>
      <xdr:col>9</xdr:col>
      <xdr:colOff>0</xdr:colOff>
      <xdr:row>16</xdr:row>
      <xdr:rowOff>575347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F6185E1-83A4-8F44-9525-B7527A06E01D}"/>
            </a:ext>
          </a:extLst>
        </xdr:cNvPr>
        <xdr:cNvSpPr txBox="1"/>
      </xdr:nvSpPr>
      <xdr:spPr>
        <a:xfrm>
          <a:off x="533400" y="9719348"/>
          <a:ext cx="173355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13805</xdr:colOff>
      <xdr:row>8</xdr:row>
      <xdr:rowOff>219212</xdr:rowOff>
    </xdr:from>
    <xdr:to>
      <xdr:col>8</xdr:col>
      <xdr:colOff>2457174</xdr:colOff>
      <xdr:row>8</xdr:row>
      <xdr:rowOff>565979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38370" y="4595190"/>
          <a:ext cx="17269239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1228587</xdr:colOff>
      <xdr:row>12</xdr:row>
      <xdr:rowOff>152399</xdr:rowOff>
    </xdr:from>
    <xdr:to>
      <xdr:col>8</xdr:col>
      <xdr:colOff>2457174</xdr:colOff>
      <xdr:row>12</xdr:row>
      <xdr:rowOff>496956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753152" y="7068377"/>
          <a:ext cx="16054457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1214782</xdr:colOff>
      <xdr:row>10</xdr:row>
      <xdr:rowOff>305354</xdr:rowOff>
    </xdr:from>
    <xdr:to>
      <xdr:col>8</xdr:col>
      <xdr:colOff>2460488</xdr:colOff>
      <xdr:row>10</xdr:row>
      <xdr:rowOff>650462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4094239" y="5951332"/>
          <a:ext cx="3716684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302591</xdr:rowOff>
    </xdr:from>
    <xdr:to>
      <xdr:col>7</xdr:col>
      <xdr:colOff>1228585</xdr:colOff>
      <xdr:row>10</xdr:row>
      <xdr:rowOff>649358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24565" y="5948569"/>
          <a:ext cx="13583477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28712</xdr:colOff>
      <xdr:row>12</xdr:row>
      <xdr:rowOff>151296</xdr:rowOff>
    </xdr:from>
    <xdr:to>
      <xdr:col>2</xdr:col>
      <xdr:colOff>1214783</xdr:colOff>
      <xdr:row>12</xdr:row>
      <xdr:rowOff>498062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53277" y="7067274"/>
          <a:ext cx="1186071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13805</xdr:colOff>
      <xdr:row>14</xdr:row>
      <xdr:rowOff>249581</xdr:rowOff>
    </xdr:from>
    <xdr:to>
      <xdr:col>9</xdr:col>
      <xdr:colOff>27609</xdr:colOff>
      <xdr:row>14</xdr:row>
      <xdr:rowOff>594138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38370" y="8435559"/>
          <a:ext cx="17310652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248478</xdr:colOff>
      <xdr:row>6</xdr:row>
      <xdr:rowOff>234674</xdr:rowOff>
    </xdr:from>
    <xdr:to>
      <xdr:col>9</xdr:col>
      <xdr:colOff>13804</xdr:colOff>
      <xdr:row>6</xdr:row>
      <xdr:rowOff>579231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10761" y="3340652"/>
          <a:ext cx="17324456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2191955</xdr:colOff>
      <xdr:row>1</xdr:row>
      <xdr:rowOff>630686</xdr:rowOff>
    </xdr:from>
    <xdr:to>
      <xdr:col>8</xdr:col>
      <xdr:colOff>2172531</xdr:colOff>
      <xdr:row>3</xdr:row>
      <xdr:rowOff>599764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4A9E47-F9BB-6C45-A895-A048F7FED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71412" y="823947"/>
          <a:ext cx="2451554" cy="1170056"/>
        </a:xfrm>
        <a:prstGeom prst="rect">
          <a:avLst/>
        </a:prstGeom>
      </xdr:spPr>
    </xdr:pic>
    <xdr:clientData/>
  </xdr:twoCellAnchor>
  <xdr:twoCellAnchor>
    <xdr:from>
      <xdr:col>1</xdr:col>
      <xdr:colOff>248478</xdr:colOff>
      <xdr:row>16</xdr:row>
      <xdr:rowOff>291546</xdr:rowOff>
    </xdr:from>
    <xdr:to>
      <xdr:col>9</xdr:col>
      <xdr:colOff>13804</xdr:colOff>
      <xdr:row>16</xdr:row>
      <xdr:rowOff>636103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8CA94E0-B372-D24A-B5A5-AA9460D1939D}"/>
            </a:ext>
          </a:extLst>
        </xdr:cNvPr>
        <xdr:cNvSpPr txBox="1"/>
      </xdr:nvSpPr>
      <xdr:spPr>
        <a:xfrm>
          <a:off x="510761" y="9747524"/>
          <a:ext cx="17324456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25400</xdr:colOff>
      <xdr:row>6</xdr:row>
      <xdr:rowOff>177800</xdr:rowOff>
    </xdr:from>
    <xdr:to>
      <xdr:col>9</xdr:col>
      <xdr:colOff>0</xdr:colOff>
      <xdr:row>6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58800" y="3289300"/>
          <a:ext cx="17310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190500</xdr:rowOff>
    </xdr:from>
    <xdr:to>
      <xdr:col>9</xdr:col>
      <xdr:colOff>0</xdr:colOff>
      <xdr:row>8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33400" y="4572000"/>
          <a:ext cx="1733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10</xdr:row>
      <xdr:rowOff>177800</xdr:rowOff>
    </xdr:from>
    <xdr:to>
      <xdr:col>9</xdr:col>
      <xdr:colOff>0</xdr:colOff>
      <xdr:row>10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4135100" y="58293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7</xdr:col>
      <xdr:colOff>1219200</xdr:colOff>
      <xdr:row>10</xdr:row>
      <xdr:rowOff>495300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46100" y="5829300"/>
          <a:ext cx="13589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                                               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1028700</xdr:colOff>
      <xdr:row>12</xdr:row>
      <xdr:rowOff>177800</xdr:rowOff>
    </xdr:from>
    <xdr:to>
      <xdr:col>8</xdr:col>
      <xdr:colOff>2463800</xdr:colOff>
      <xdr:row>12</xdr:row>
      <xdr:rowOff>495300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562100" y="7099300"/>
          <a:ext cx="1629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                                            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177800</xdr:rowOff>
    </xdr:from>
    <xdr:to>
      <xdr:col>9</xdr:col>
      <xdr:colOff>0</xdr:colOff>
      <xdr:row>14</xdr:row>
      <xdr:rowOff>495300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33400" y="8369300"/>
          <a:ext cx="1733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                                         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12</xdr:row>
      <xdr:rowOff>177800</xdr:rowOff>
    </xdr:from>
    <xdr:to>
      <xdr:col>2</xdr:col>
      <xdr:colOff>1028700</xdr:colOff>
      <xdr:row>12</xdr:row>
      <xdr:rowOff>495299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546101" y="7099300"/>
          <a:ext cx="10159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C66-A62D-FA48-8003-202A095CD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</xdr:row>
      <xdr:rowOff>190500</xdr:rowOff>
    </xdr:from>
    <xdr:to>
      <xdr:col>9</xdr:col>
      <xdr:colOff>12700</xdr:colOff>
      <xdr:row>16</xdr:row>
      <xdr:rowOff>508000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8B9E840-7788-B048-B35E-7A9F886A3A0B}"/>
            </a:ext>
          </a:extLst>
        </xdr:cNvPr>
        <xdr:cNvSpPr txBox="1"/>
      </xdr:nvSpPr>
      <xdr:spPr>
        <a:xfrm>
          <a:off x="533400" y="9652000"/>
          <a:ext cx="1734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8</xdr:row>
      <xdr:rowOff>190500</xdr:rowOff>
    </xdr:from>
    <xdr:to>
      <xdr:col>9</xdr:col>
      <xdr:colOff>25400</xdr:colOff>
      <xdr:row>8</xdr:row>
      <xdr:rowOff>508000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546100" y="4572000"/>
          <a:ext cx="1734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215900</xdr:rowOff>
    </xdr:from>
    <xdr:to>
      <xdr:col>2</xdr:col>
      <xdr:colOff>1231900</xdr:colOff>
      <xdr:row>12</xdr:row>
      <xdr:rowOff>533399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58800" y="7137400"/>
          <a:ext cx="1206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10</xdr:row>
      <xdr:rowOff>203200</xdr:rowOff>
    </xdr:from>
    <xdr:to>
      <xdr:col>7</xdr:col>
      <xdr:colOff>1270000</xdr:colOff>
      <xdr:row>10</xdr:row>
      <xdr:rowOff>520700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46100" y="5854700"/>
          <a:ext cx="13639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1231900</xdr:colOff>
      <xdr:row>12</xdr:row>
      <xdr:rowOff>215900</xdr:rowOff>
    </xdr:from>
    <xdr:to>
      <xdr:col>9</xdr:col>
      <xdr:colOff>0</xdr:colOff>
      <xdr:row>12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765300" y="7137400"/>
          <a:ext cx="16103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9</xdr:col>
      <xdr:colOff>25400</xdr:colOff>
      <xdr:row>14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46100" y="8420100"/>
          <a:ext cx="1734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10</xdr:row>
      <xdr:rowOff>203201</xdr:rowOff>
    </xdr:from>
    <xdr:to>
      <xdr:col>8</xdr:col>
      <xdr:colOff>2463800</xdr:colOff>
      <xdr:row>10</xdr:row>
      <xdr:rowOff>520701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4173200" y="5854701"/>
          <a:ext cx="368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2176009</xdr:colOff>
      <xdr:row>1</xdr:row>
      <xdr:rowOff>635000</xdr:rowOff>
    </xdr:from>
    <xdr:to>
      <xdr:col>8</xdr:col>
      <xdr:colOff>2151063</xdr:colOff>
      <xdr:row>3</xdr:row>
      <xdr:rowOff>598556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646696-7BC8-B64D-99E2-347B5948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1909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241300</xdr:rowOff>
    </xdr:from>
    <xdr:to>
      <xdr:col>8</xdr:col>
      <xdr:colOff>2463800</xdr:colOff>
      <xdr:row>6</xdr:row>
      <xdr:rowOff>558800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21C9458-8918-5A48-B416-C978C36F8C0A}"/>
            </a:ext>
          </a:extLst>
        </xdr:cNvPr>
        <xdr:cNvSpPr txBox="1"/>
      </xdr:nvSpPr>
      <xdr:spPr>
        <a:xfrm>
          <a:off x="533400" y="3352800"/>
          <a:ext cx="1732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241300</xdr:rowOff>
    </xdr:from>
    <xdr:to>
      <xdr:col>9</xdr:col>
      <xdr:colOff>12700</xdr:colOff>
      <xdr:row>16</xdr:row>
      <xdr:rowOff>558800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A19DDBB-81CE-8642-996B-BEB36AED80E4}"/>
            </a:ext>
          </a:extLst>
        </xdr:cNvPr>
        <xdr:cNvSpPr txBox="1"/>
      </xdr:nvSpPr>
      <xdr:spPr>
        <a:xfrm>
          <a:off x="546100" y="9702800"/>
          <a:ext cx="1733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6</xdr:row>
      <xdr:rowOff>215900</xdr:rowOff>
    </xdr:from>
    <xdr:to>
      <xdr:col>8</xdr:col>
      <xdr:colOff>2463800</xdr:colOff>
      <xdr:row>6</xdr:row>
      <xdr:rowOff>533400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533400" y="3327400"/>
          <a:ext cx="1732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10</xdr:row>
      <xdr:rowOff>215900</xdr:rowOff>
    </xdr:from>
    <xdr:to>
      <xdr:col>8</xdr:col>
      <xdr:colOff>2462695</xdr:colOff>
      <xdr:row>10</xdr:row>
      <xdr:rowOff>533400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4122400" y="5867400"/>
          <a:ext cx="37326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228600</xdr:rowOff>
    </xdr:from>
    <xdr:to>
      <xdr:col>9</xdr:col>
      <xdr:colOff>12700</xdr:colOff>
      <xdr:row>8</xdr:row>
      <xdr:rowOff>546100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46100" y="4610100"/>
          <a:ext cx="1733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12</xdr:row>
      <xdr:rowOff>215900</xdr:rowOff>
    </xdr:from>
    <xdr:to>
      <xdr:col>9</xdr:col>
      <xdr:colOff>25400</xdr:colOff>
      <xdr:row>12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790700" y="7137400"/>
          <a:ext cx="16103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215900</xdr:rowOff>
    </xdr:from>
    <xdr:to>
      <xdr:col>7</xdr:col>
      <xdr:colOff>1231900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46100" y="5867400"/>
          <a:ext cx="13601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215900</xdr:rowOff>
    </xdr:from>
    <xdr:to>
      <xdr:col>2</xdr:col>
      <xdr:colOff>1257300</xdr:colOff>
      <xdr:row>12</xdr:row>
      <xdr:rowOff>533399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533400" y="71374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14</xdr:row>
      <xdr:rowOff>190500</xdr:rowOff>
    </xdr:from>
    <xdr:to>
      <xdr:col>9</xdr:col>
      <xdr:colOff>12700</xdr:colOff>
      <xdr:row>14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533400" y="8382000"/>
          <a:ext cx="1734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CEDB8-F4D4-AF4D-B834-BE9CD0F7C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1</xdr:col>
      <xdr:colOff>254000</xdr:colOff>
      <xdr:row>16</xdr:row>
      <xdr:rowOff>215900</xdr:rowOff>
    </xdr:from>
    <xdr:to>
      <xdr:col>9</xdr:col>
      <xdr:colOff>12700</xdr:colOff>
      <xdr:row>16</xdr:row>
      <xdr:rowOff>533400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3AFA058-630F-754D-995A-84F629729AFD}"/>
            </a:ext>
          </a:extLst>
        </xdr:cNvPr>
        <xdr:cNvSpPr txBox="1"/>
      </xdr:nvSpPr>
      <xdr:spPr>
        <a:xfrm>
          <a:off x="520700" y="9677400"/>
          <a:ext cx="17360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12</xdr:row>
      <xdr:rowOff>228600</xdr:rowOff>
    </xdr:from>
    <xdr:to>
      <xdr:col>2</xdr:col>
      <xdr:colOff>1384300</xdr:colOff>
      <xdr:row>12</xdr:row>
      <xdr:rowOff>546099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46100" y="7150100"/>
          <a:ext cx="1371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8</xdr:row>
      <xdr:rowOff>228600</xdr:rowOff>
    </xdr:from>
    <xdr:to>
      <xdr:col>8</xdr:col>
      <xdr:colOff>2463800</xdr:colOff>
      <xdr:row>8</xdr:row>
      <xdr:rowOff>546100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533400" y="4610100"/>
          <a:ext cx="1732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228600</xdr:rowOff>
    </xdr:from>
    <xdr:to>
      <xdr:col>7</xdr:col>
      <xdr:colOff>1193800</xdr:colOff>
      <xdr:row>10</xdr:row>
      <xdr:rowOff>546100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33400" y="5880100"/>
          <a:ext cx="13576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1384300</xdr:colOff>
      <xdr:row>12</xdr:row>
      <xdr:rowOff>228600</xdr:rowOff>
    </xdr:from>
    <xdr:to>
      <xdr:col>9</xdr:col>
      <xdr:colOff>12700</xdr:colOff>
      <xdr:row>12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917700" y="7150100"/>
          <a:ext cx="15963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228600</xdr:rowOff>
    </xdr:from>
    <xdr:to>
      <xdr:col>9</xdr:col>
      <xdr:colOff>0</xdr:colOff>
      <xdr:row>14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533400" y="8420100"/>
          <a:ext cx="1733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254000</xdr:rowOff>
    </xdr:from>
    <xdr:to>
      <xdr:col>9</xdr:col>
      <xdr:colOff>0</xdr:colOff>
      <xdr:row>6</xdr:row>
      <xdr:rowOff>571500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546100" y="3365500"/>
          <a:ext cx="1732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1193799</xdr:colOff>
      <xdr:row>10</xdr:row>
      <xdr:rowOff>228600</xdr:rowOff>
    </xdr:from>
    <xdr:to>
      <xdr:col>8</xdr:col>
      <xdr:colOff>2463800</xdr:colOff>
      <xdr:row>10</xdr:row>
      <xdr:rowOff>546100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4109699" y="5880100"/>
          <a:ext cx="3746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647700</xdr:rowOff>
    </xdr:from>
    <xdr:to>
      <xdr:col>8</xdr:col>
      <xdr:colOff>2143304</xdr:colOff>
      <xdr:row>3</xdr:row>
      <xdr:rowOff>611256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BE73BE-71C2-F848-879A-2361AB7CC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38200"/>
          <a:ext cx="2451554" cy="1170056"/>
        </a:xfrm>
        <a:prstGeom prst="rect">
          <a:avLst/>
        </a:prstGeom>
      </xdr:spPr>
    </xdr:pic>
    <xdr:clientData/>
  </xdr:twoCellAnchor>
  <xdr:twoCellAnchor>
    <xdr:from>
      <xdr:col>1</xdr:col>
      <xdr:colOff>254000</xdr:colOff>
      <xdr:row>16</xdr:row>
      <xdr:rowOff>215900</xdr:rowOff>
    </xdr:from>
    <xdr:to>
      <xdr:col>9</xdr:col>
      <xdr:colOff>12700</xdr:colOff>
      <xdr:row>16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53A0E6D-CDEF-2049-AE73-BC7300E2148B}"/>
            </a:ext>
          </a:extLst>
        </xdr:cNvPr>
        <xdr:cNvSpPr txBox="1"/>
      </xdr:nvSpPr>
      <xdr:spPr>
        <a:xfrm>
          <a:off x="520700" y="9677400"/>
          <a:ext cx="17360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12</xdr:row>
      <xdr:rowOff>228600</xdr:rowOff>
    </xdr:from>
    <xdr:to>
      <xdr:col>2</xdr:col>
      <xdr:colOff>1257300</xdr:colOff>
      <xdr:row>12</xdr:row>
      <xdr:rowOff>546099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546100" y="7150100"/>
          <a:ext cx="1244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8</xdr:row>
      <xdr:rowOff>228600</xdr:rowOff>
    </xdr:from>
    <xdr:to>
      <xdr:col>9</xdr:col>
      <xdr:colOff>0</xdr:colOff>
      <xdr:row>8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46100" y="4610100"/>
          <a:ext cx="1732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228600</xdr:rowOff>
    </xdr:from>
    <xdr:to>
      <xdr:col>7</xdr:col>
      <xdr:colOff>1219200</xdr:colOff>
      <xdr:row>10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546100" y="5880100"/>
          <a:ext cx="13589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12</xdr:row>
      <xdr:rowOff>228600</xdr:rowOff>
    </xdr:from>
    <xdr:to>
      <xdr:col>9</xdr:col>
      <xdr:colOff>0</xdr:colOff>
      <xdr:row>12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1790700" y="7150100"/>
          <a:ext cx="1607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228600</xdr:rowOff>
    </xdr:from>
    <xdr:to>
      <xdr:col>9</xdr:col>
      <xdr:colOff>0</xdr:colOff>
      <xdr:row>14</xdr:row>
      <xdr:rowOff>546100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533400" y="8420100"/>
          <a:ext cx="1733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16</xdr:row>
      <xdr:rowOff>228600</xdr:rowOff>
    </xdr:from>
    <xdr:to>
      <xdr:col>9</xdr:col>
      <xdr:colOff>0</xdr:colOff>
      <xdr:row>16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533400" y="9690100"/>
          <a:ext cx="1733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10</xdr:row>
      <xdr:rowOff>228600</xdr:rowOff>
    </xdr:from>
    <xdr:to>
      <xdr:col>8</xdr:col>
      <xdr:colOff>2463800</xdr:colOff>
      <xdr:row>10</xdr:row>
      <xdr:rowOff>546100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14122400" y="58801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A248AA-9C01-6345-8C03-67B2A43A3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228600</xdr:rowOff>
    </xdr:from>
    <xdr:to>
      <xdr:col>9</xdr:col>
      <xdr:colOff>12700</xdr:colOff>
      <xdr:row>6</xdr:row>
      <xdr:rowOff>546100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B8A285A-505C-EF4A-8A42-CF243E687B2D}"/>
            </a:ext>
          </a:extLst>
        </xdr:cNvPr>
        <xdr:cNvSpPr txBox="1"/>
      </xdr:nvSpPr>
      <xdr:spPr>
        <a:xfrm>
          <a:off x="533400" y="3340100"/>
          <a:ext cx="1734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12</xdr:row>
      <xdr:rowOff>228600</xdr:rowOff>
    </xdr:from>
    <xdr:to>
      <xdr:col>2</xdr:col>
      <xdr:colOff>1320800</xdr:colOff>
      <xdr:row>12</xdr:row>
      <xdr:rowOff>546099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546100" y="7150100"/>
          <a:ext cx="1308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6</xdr:row>
      <xdr:rowOff>279400</xdr:rowOff>
    </xdr:from>
    <xdr:to>
      <xdr:col>8</xdr:col>
      <xdr:colOff>2463800</xdr:colOff>
      <xdr:row>6</xdr:row>
      <xdr:rowOff>596900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546100" y="3390900"/>
          <a:ext cx="17310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228600</xdr:rowOff>
    </xdr:from>
    <xdr:to>
      <xdr:col>9</xdr:col>
      <xdr:colOff>0</xdr:colOff>
      <xdr:row>8</xdr:row>
      <xdr:rowOff>546100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546100" y="4610100"/>
          <a:ext cx="1732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228600</xdr:rowOff>
    </xdr:from>
    <xdr:to>
      <xdr:col>7</xdr:col>
      <xdr:colOff>1219200</xdr:colOff>
      <xdr:row>10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533400" y="5880100"/>
          <a:ext cx="13601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1320800</xdr:colOff>
      <xdr:row>12</xdr:row>
      <xdr:rowOff>228600</xdr:rowOff>
    </xdr:from>
    <xdr:to>
      <xdr:col>9</xdr:col>
      <xdr:colOff>12700</xdr:colOff>
      <xdr:row>12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1854200" y="7150100"/>
          <a:ext cx="16027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9</xdr:col>
      <xdr:colOff>12700</xdr:colOff>
      <xdr:row>14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546100" y="8420100"/>
          <a:ext cx="1733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10</xdr:row>
      <xdr:rowOff>228600</xdr:rowOff>
    </xdr:from>
    <xdr:to>
      <xdr:col>8</xdr:col>
      <xdr:colOff>2463800</xdr:colOff>
      <xdr:row>10</xdr:row>
      <xdr:rowOff>546100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14135100" y="58801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C5CCC8-44D3-BE40-93A6-E4D829C7F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16</xdr:row>
      <xdr:rowOff>228600</xdr:rowOff>
    </xdr:from>
    <xdr:to>
      <xdr:col>9</xdr:col>
      <xdr:colOff>0</xdr:colOff>
      <xdr:row>16</xdr:row>
      <xdr:rowOff>546100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9189D3E-387D-D945-9279-CB7421133D2C}"/>
            </a:ext>
          </a:extLst>
        </xdr:cNvPr>
        <xdr:cNvSpPr txBox="1"/>
      </xdr:nvSpPr>
      <xdr:spPr>
        <a:xfrm>
          <a:off x="546100" y="9690100"/>
          <a:ext cx="1732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12</xdr:row>
      <xdr:rowOff>215900</xdr:rowOff>
    </xdr:from>
    <xdr:to>
      <xdr:col>2</xdr:col>
      <xdr:colOff>1282700</xdr:colOff>
      <xdr:row>12</xdr:row>
      <xdr:rowOff>533399</xdr:rowOff>
    </xdr:to>
    <xdr:sp macro="" textlink="">
      <xdr:nvSpPr>
        <xdr:cNvPr id="10" name="TextBox 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533400" y="7137400"/>
          <a:ext cx="1282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215900</xdr:rowOff>
    </xdr:from>
    <xdr:to>
      <xdr:col>9</xdr:col>
      <xdr:colOff>0</xdr:colOff>
      <xdr:row>8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546100" y="4597400"/>
          <a:ext cx="1732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215900</xdr:rowOff>
    </xdr:from>
    <xdr:to>
      <xdr:col>7</xdr:col>
      <xdr:colOff>1257300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546100" y="5867400"/>
          <a:ext cx="13627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12</xdr:row>
      <xdr:rowOff>215900</xdr:rowOff>
    </xdr:from>
    <xdr:to>
      <xdr:col>9</xdr:col>
      <xdr:colOff>25400</xdr:colOff>
      <xdr:row>12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1816100" y="7137400"/>
          <a:ext cx="1607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215900</xdr:rowOff>
    </xdr:from>
    <xdr:to>
      <xdr:col>9</xdr:col>
      <xdr:colOff>0</xdr:colOff>
      <xdr:row>14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533400" y="8407400"/>
          <a:ext cx="1733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10</xdr:row>
      <xdr:rowOff>215900</xdr:rowOff>
    </xdr:from>
    <xdr:to>
      <xdr:col>9</xdr:col>
      <xdr:colOff>0</xdr:colOff>
      <xdr:row>10</xdr:row>
      <xdr:rowOff>533400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14147800" y="58674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3F737F-BA49-AC4B-A6DE-621BA4A18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1</xdr:col>
      <xdr:colOff>254000</xdr:colOff>
      <xdr:row>6</xdr:row>
      <xdr:rowOff>190500</xdr:rowOff>
    </xdr:from>
    <xdr:to>
      <xdr:col>9</xdr:col>
      <xdr:colOff>0</xdr:colOff>
      <xdr:row>6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A3EE26B-AD06-AF4A-BE93-AD842DDC9AF3}"/>
            </a:ext>
          </a:extLst>
        </xdr:cNvPr>
        <xdr:cNvSpPr txBox="1"/>
      </xdr:nvSpPr>
      <xdr:spPr>
        <a:xfrm>
          <a:off x="520700" y="3302000"/>
          <a:ext cx="1734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16</xdr:row>
      <xdr:rowOff>215900</xdr:rowOff>
    </xdr:from>
    <xdr:to>
      <xdr:col>9</xdr:col>
      <xdr:colOff>12700</xdr:colOff>
      <xdr:row>16</xdr:row>
      <xdr:rowOff>533400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AA501CA-CA00-D345-B86C-22618FBF81CB}"/>
            </a:ext>
          </a:extLst>
        </xdr:cNvPr>
        <xdr:cNvSpPr txBox="1"/>
      </xdr:nvSpPr>
      <xdr:spPr>
        <a:xfrm>
          <a:off x="533400" y="9677400"/>
          <a:ext cx="1734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12</xdr:row>
      <xdr:rowOff>215900</xdr:rowOff>
    </xdr:from>
    <xdr:to>
      <xdr:col>2</xdr:col>
      <xdr:colOff>1295400</xdr:colOff>
      <xdr:row>12</xdr:row>
      <xdr:rowOff>533399</xdr:rowOff>
    </xdr:to>
    <xdr:sp macro="" textlink="">
      <xdr:nvSpPr>
        <xdr:cNvPr id="15" name="TextBox 6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533400" y="7137400"/>
          <a:ext cx="1295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6</xdr:row>
      <xdr:rowOff>215900</xdr:rowOff>
    </xdr:from>
    <xdr:to>
      <xdr:col>9</xdr:col>
      <xdr:colOff>12700</xdr:colOff>
      <xdr:row>6</xdr:row>
      <xdr:rowOff>533400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533400" y="3327400"/>
          <a:ext cx="1734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215900</xdr:rowOff>
    </xdr:from>
    <xdr:to>
      <xdr:col>9</xdr:col>
      <xdr:colOff>0</xdr:colOff>
      <xdr:row>8</xdr:row>
      <xdr:rowOff>533400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546100" y="4597400"/>
          <a:ext cx="1732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215900</xdr:rowOff>
    </xdr:from>
    <xdr:to>
      <xdr:col>7</xdr:col>
      <xdr:colOff>1244600</xdr:colOff>
      <xdr:row>10</xdr:row>
      <xdr:rowOff>533400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533400" y="5867400"/>
          <a:ext cx="13627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1308100</xdr:colOff>
      <xdr:row>12</xdr:row>
      <xdr:rowOff>215900</xdr:rowOff>
    </xdr:from>
    <xdr:to>
      <xdr:col>9</xdr:col>
      <xdr:colOff>25400</xdr:colOff>
      <xdr:row>12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1841500" y="7137400"/>
          <a:ext cx="1605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215900</xdr:rowOff>
    </xdr:from>
    <xdr:to>
      <xdr:col>9</xdr:col>
      <xdr:colOff>12700</xdr:colOff>
      <xdr:row>14</xdr:row>
      <xdr:rowOff>533400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546100" y="8407400"/>
          <a:ext cx="1733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10</xdr:row>
      <xdr:rowOff>215900</xdr:rowOff>
    </xdr:from>
    <xdr:to>
      <xdr:col>9</xdr:col>
      <xdr:colOff>0</xdr:colOff>
      <xdr:row>10</xdr:row>
      <xdr:rowOff>533400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14135100" y="58674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0BEA4E-3FC9-344A-8068-A58CED2AB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</xdr:row>
      <xdr:rowOff>228600</xdr:rowOff>
    </xdr:from>
    <xdr:to>
      <xdr:col>9</xdr:col>
      <xdr:colOff>12700</xdr:colOff>
      <xdr:row>16</xdr:row>
      <xdr:rowOff>546100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D41B2BD-C3BE-4C47-A7FC-C5C178676E44}"/>
            </a:ext>
          </a:extLst>
        </xdr:cNvPr>
        <xdr:cNvSpPr txBox="1"/>
      </xdr:nvSpPr>
      <xdr:spPr>
        <a:xfrm>
          <a:off x="533400" y="9690100"/>
          <a:ext cx="1734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25401</xdr:colOff>
      <xdr:row>12</xdr:row>
      <xdr:rowOff>215900</xdr:rowOff>
    </xdr:from>
    <xdr:to>
      <xdr:col>2</xdr:col>
      <xdr:colOff>1346201</xdr:colOff>
      <xdr:row>12</xdr:row>
      <xdr:rowOff>533399</xdr:rowOff>
    </xdr:to>
    <xdr:sp macro="" textlink="">
      <xdr:nvSpPr>
        <xdr:cNvPr id="9" name="TextBox 6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558801" y="7137400"/>
          <a:ext cx="1320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6</xdr:row>
      <xdr:rowOff>254000</xdr:rowOff>
    </xdr:from>
    <xdr:to>
      <xdr:col>9</xdr:col>
      <xdr:colOff>0</xdr:colOff>
      <xdr:row>6</xdr:row>
      <xdr:rowOff>571500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533400" y="3365500"/>
          <a:ext cx="1733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215900</xdr:rowOff>
    </xdr:from>
    <xdr:to>
      <xdr:col>9</xdr:col>
      <xdr:colOff>0</xdr:colOff>
      <xdr:row>8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546100" y="4597400"/>
          <a:ext cx="1732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215900</xdr:rowOff>
    </xdr:from>
    <xdr:to>
      <xdr:col>7</xdr:col>
      <xdr:colOff>1295400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546100" y="5867400"/>
          <a:ext cx="13665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1346200</xdr:colOff>
      <xdr:row>12</xdr:row>
      <xdr:rowOff>215900</xdr:rowOff>
    </xdr:from>
    <xdr:to>
      <xdr:col>8</xdr:col>
      <xdr:colOff>2463800</xdr:colOff>
      <xdr:row>12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1879600" y="7137400"/>
          <a:ext cx="15976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215900</xdr:rowOff>
    </xdr:from>
    <xdr:to>
      <xdr:col>9</xdr:col>
      <xdr:colOff>12700</xdr:colOff>
      <xdr:row>14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533400" y="8407400"/>
          <a:ext cx="1734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10</xdr:row>
      <xdr:rowOff>215900</xdr:rowOff>
    </xdr:from>
    <xdr:to>
      <xdr:col>8</xdr:col>
      <xdr:colOff>2463800</xdr:colOff>
      <xdr:row>10</xdr:row>
      <xdr:rowOff>533400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/>
      </xdr:nvSpPr>
      <xdr:spPr>
        <a:xfrm>
          <a:off x="14198600" y="5867400"/>
          <a:ext cx="365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0D5259-87E5-2D48-87B0-620CAEF99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</xdr:row>
      <xdr:rowOff>215900</xdr:rowOff>
    </xdr:from>
    <xdr:to>
      <xdr:col>9</xdr:col>
      <xdr:colOff>12700</xdr:colOff>
      <xdr:row>16</xdr:row>
      <xdr:rowOff>533400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AC43CB0-F68E-1F4D-93E9-AC35AA8DFFCC}"/>
            </a:ext>
          </a:extLst>
        </xdr:cNvPr>
        <xdr:cNvSpPr txBox="1"/>
      </xdr:nvSpPr>
      <xdr:spPr>
        <a:xfrm>
          <a:off x="533400" y="9677400"/>
          <a:ext cx="1734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12700</xdr:colOff>
      <xdr:row>8</xdr:row>
      <xdr:rowOff>215900</xdr:rowOff>
    </xdr:from>
    <xdr:to>
      <xdr:col>9</xdr:col>
      <xdr:colOff>0</xdr:colOff>
      <xdr:row>8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546100" y="4597400"/>
          <a:ext cx="1732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215900</xdr:rowOff>
    </xdr:from>
    <xdr:to>
      <xdr:col>7</xdr:col>
      <xdr:colOff>1270000</xdr:colOff>
      <xdr:row>10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546100" y="5867400"/>
          <a:ext cx="13639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12</xdr:row>
      <xdr:rowOff>215900</xdr:rowOff>
    </xdr:from>
    <xdr:to>
      <xdr:col>8</xdr:col>
      <xdr:colOff>2463800</xdr:colOff>
      <xdr:row>12</xdr:row>
      <xdr:rowOff>533400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/>
      </xdr:nvSpPr>
      <xdr:spPr>
        <a:xfrm>
          <a:off x="1816100" y="7137400"/>
          <a:ext cx="16040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215900</xdr:rowOff>
    </xdr:from>
    <xdr:to>
      <xdr:col>9</xdr:col>
      <xdr:colOff>25400</xdr:colOff>
      <xdr:row>14</xdr:row>
      <xdr:rowOff>533400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 txBox="1"/>
      </xdr:nvSpPr>
      <xdr:spPr>
        <a:xfrm>
          <a:off x="533400" y="8407400"/>
          <a:ext cx="17360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10</xdr:row>
      <xdr:rowOff>215900</xdr:rowOff>
    </xdr:from>
    <xdr:to>
      <xdr:col>8</xdr:col>
      <xdr:colOff>2463800</xdr:colOff>
      <xdr:row>10</xdr:row>
      <xdr:rowOff>533400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/>
      </xdr:nvSpPr>
      <xdr:spPr>
        <a:xfrm>
          <a:off x="14173200" y="5867400"/>
          <a:ext cx="368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6E5DBB-EEE8-7344-9E45-1439C83F1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6</xdr:row>
      <xdr:rowOff>215900</xdr:rowOff>
    </xdr:from>
    <xdr:to>
      <xdr:col>8</xdr:col>
      <xdr:colOff>2463800</xdr:colOff>
      <xdr:row>6</xdr:row>
      <xdr:rowOff>533400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7EBF6D-8D83-2343-A71C-2F9246840A3E}"/>
            </a:ext>
          </a:extLst>
        </xdr:cNvPr>
        <xdr:cNvSpPr txBox="1"/>
      </xdr:nvSpPr>
      <xdr:spPr>
        <a:xfrm>
          <a:off x="546100" y="3327400"/>
          <a:ext cx="17310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12700</xdr:colOff>
      <xdr:row>12</xdr:row>
      <xdr:rowOff>215900</xdr:rowOff>
    </xdr:from>
    <xdr:ext cx="1257300" cy="317499"/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6453D24D-90EC-344D-BB20-25A6A1357D8B}"/>
            </a:ext>
          </a:extLst>
        </xdr:cNvPr>
        <xdr:cNvSpPr txBox="1"/>
      </xdr:nvSpPr>
      <xdr:spPr>
        <a:xfrm>
          <a:off x="546100" y="71374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twoCellAnchor>
    <xdr:from>
      <xdr:col>2</xdr:col>
      <xdr:colOff>12700</xdr:colOff>
      <xdr:row>16</xdr:row>
      <xdr:rowOff>215900</xdr:rowOff>
    </xdr:from>
    <xdr:to>
      <xdr:col>9</xdr:col>
      <xdr:colOff>25400</xdr:colOff>
      <xdr:row>16</xdr:row>
      <xdr:rowOff>533400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2ED546A-375F-B54C-BEAA-8527DF95F891}"/>
            </a:ext>
          </a:extLst>
        </xdr:cNvPr>
        <xdr:cNvSpPr txBox="1"/>
      </xdr:nvSpPr>
      <xdr:spPr>
        <a:xfrm>
          <a:off x="546100" y="9677400"/>
          <a:ext cx="1734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I22"/>
  <sheetViews>
    <sheetView showGridLines="0" zoomScaleNormal="100" workbookViewId="0">
      <pane ySplit="5" topLeftCell="A6" activePane="bottomLeft" state="frozen"/>
      <selection pane="bottomLeft" activeCell="D4" sqref="D4:H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/>
    <row r="2" spans="2:9" ht="75" customHeight="1" thickTop="1" x14ac:dyDescent="0.15">
      <c r="C2" s="178" t="s">
        <v>39</v>
      </c>
      <c r="D2" s="179"/>
      <c r="E2" s="179"/>
      <c r="F2" s="179"/>
      <c r="G2" s="179"/>
      <c r="H2" s="179"/>
      <c r="I2" s="180"/>
    </row>
    <row r="3" spans="2:9" s="14" customFormat="1" ht="20" customHeight="1" x14ac:dyDescent="0.15">
      <c r="C3" s="15" t="s">
        <v>0</v>
      </c>
      <c r="D3" s="132">
        <v>2025</v>
      </c>
      <c r="E3" s="17" t="s">
        <v>1</v>
      </c>
      <c r="F3" s="16" t="s">
        <v>2</v>
      </c>
      <c r="G3" s="18" t="s">
        <v>3</v>
      </c>
      <c r="H3" s="19"/>
      <c r="I3" s="20"/>
    </row>
    <row r="4" spans="2:9" ht="75" customHeight="1" x14ac:dyDescent="0.65">
      <c r="C4" s="134">
        <f>CalendarYear</f>
        <v>2025</v>
      </c>
      <c r="D4" s="184" t="s">
        <v>4</v>
      </c>
      <c r="E4" s="184"/>
      <c r="F4" s="184"/>
      <c r="G4" s="184"/>
      <c r="H4" s="184"/>
      <c r="I4" s="133"/>
    </row>
    <row r="5" spans="2:9" s="2" customFormat="1" ht="35" customHeight="1" x14ac:dyDescent="0.15">
      <c r="B5" s="77"/>
      <c r="C5" s="11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139">
        <f t="array" ref="C6:I6">DaysAndWeeks+DATE(CalendarYear,1,1)-WEEKDAY(DATE(CalendarYear,1,1),(WeekStart="M")+1)+1</f>
        <v>45655</v>
      </c>
      <c r="D6" s="27">
        <v>45656</v>
      </c>
      <c r="E6" s="27">
        <v>45657</v>
      </c>
      <c r="F6" s="23">
        <v>45658</v>
      </c>
      <c r="G6" s="137">
        <v>45659</v>
      </c>
      <c r="H6" s="23">
        <v>45660</v>
      </c>
      <c r="I6" s="24">
        <v>45661</v>
      </c>
    </row>
    <row r="7" spans="2:9" s="6" customFormat="1" ht="75" customHeight="1" x14ac:dyDescent="0.15">
      <c r="B7" s="70"/>
      <c r="C7" s="193"/>
      <c r="D7" s="194"/>
      <c r="E7" s="195"/>
      <c r="F7" s="8"/>
      <c r="H7" s="118"/>
      <c r="I7" s="7"/>
    </row>
    <row r="8" spans="2:9" s="32" customFormat="1" ht="25" customHeight="1" x14ac:dyDescent="0.2">
      <c r="B8" s="72"/>
      <c r="C8" s="141">
        <f t="array" ref="C8:I8">DaysAndWeeks+DATE(CalendarYear,1,1)-WEEKDAY(DATE(CalendarYear,1,1),(WeekStart="M")+1)+8</f>
        <v>45662</v>
      </c>
      <c r="D8" s="136">
        <v>45663</v>
      </c>
      <c r="E8" s="136">
        <v>45664</v>
      </c>
      <c r="F8" s="136">
        <v>45665</v>
      </c>
      <c r="G8" s="136">
        <v>45666</v>
      </c>
      <c r="H8" s="106">
        <v>45667</v>
      </c>
      <c r="I8" s="24">
        <v>45668</v>
      </c>
    </row>
    <row r="9" spans="2:9" s="6" customFormat="1" ht="75" customHeight="1" x14ac:dyDescent="0.15">
      <c r="B9" s="70"/>
      <c r="C9" s="116"/>
      <c r="D9" s="117"/>
      <c r="F9" s="10"/>
      <c r="G9" s="150"/>
      <c r="H9" s="150"/>
      <c r="I9" s="9"/>
    </row>
    <row r="10" spans="2:9" s="32" customFormat="1" ht="25" customHeight="1" x14ac:dyDescent="0.2">
      <c r="B10" s="72"/>
      <c r="C10" s="21">
        <f t="array" ref="C10:I10">DaysAndWeeks+DATE(CalendarYear,1,1)-WEEKDAY(DATE(CalendarYear,1,1),(WeekStart="M")+1)+15</f>
        <v>45669</v>
      </c>
      <c r="D10" s="22">
        <v>45670</v>
      </c>
      <c r="E10" s="22">
        <v>45671</v>
      </c>
      <c r="F10" s="22">
        <v>45672</v>
      </c>
      <c r="G10" s="25">
        <v>45673</v>
      </c>
      <c r="H10" s="26">
        <v>45674</v>
      </c>
      <c r="I10" s="24">
        <v>45675</v>
      </c>
    </row>
    <row r="11" spans="2:9" s="6" customFormat="1" ht="75" customHeight="1" x14ac:dyDescent="0.15">
      <c r="B11" s="70"/>
      <c r="C11" s="116"/>
      <c r="D11" s="117"/>
      <c r="E11" s="117"/>
      <c r="F11" s="10"/>
      <c r="H11" s="117">
        <v>0.625</v>
      </c>
      <c r="I11" s="7"/>
    </row>
    <row r="12" spans="2:9" s="32" customFormat="1" ht="25" customHeight="1" x14ac:dyDescent="0.2">
      <c r="B12" s="72"/>
      <c r="C12" s="21">
        <f t="array" ref="C12:I12">DaysAndWeeks+DATE(CalendarYear,1,1)-WEEKDAY(DATE(CalendarYear,1,1),(WeekStart="M")+1)+22</f>
        <v>45676</v>
      </c>
      <c r="D12" s="22">
        <v>45677</v>
      </c>
      <c r="E12" s="22">
        <v>45678</v>
      </c>
      <c r="F12" s="22">
        <v>45679</v>
      </c>
      <c r="G12" s="22">
        <v>45680</v>
      </c>
      <c r="H12" s="23">
        <v>45681</v>
      </c>
      <c r="I12" s="24">
        <v>45682</v>
      </c>
    </row>
    <row r="13" spans="2:9" s="6" customFormat="1" ht="75" customHeight="1" x14ac:dyDescent="0.15">
      <c r="B13" s="70"/>
      <c r="C13" s="117">
        <v>0.625</v>
      </c>
      <c r="D13" s="116"/>
      <c r="E13" s="117"/>
      <c r="F13" s="10"/>
      <c r="H13" s="118"/>
      <c r="I13" s="9"/>
    </row>
    <row r="14" spans="2:9" s="32" customFormat="1" ht="25" customHeight="1" x14ac:dyDescent="0.2">
      <c r="B14" s="72"/>
      <c r="C14" s="21">
        <f t="array" ref="C14:I14">DaysAndWeeks+DATE(CalendarYear,1,1)-WEEKDAY(DATE(CalendarYear,1,1),(WeekStart="M")+1)+29</f>
        <v>45683</v>
      </c>
      <c r="D14" s="22">
        <v>45684</v>
      </c>
      <c r="E14" s="22">
        <v>45685</v>
      </c>
      <c r="F14" s="22">
        <v>45686</v>
      </c>
      <c r="G14" s="22">
        <v>45687</v>
      </c>
      <c r="H14" s="22">
        <v>45688</v>
      </c>
      <c r="I14" s="28">
        <v>45689</v>
      </c>
    </row>
    <row r="15" spans="2:9" s="6" customFormat="1" ht="75" customHeight="1" x14ac:dyDescent="0.15">
      <c r="B15" s="70"/>
      <c r="C15" s="116"/>
      <c r="D15" s="117"/>
      <c r="E15" s="117"/>
      <c r="F15" s="10"/>
      <c r="G15" s="151"/>
      <c r="H15" s="118"/>
      <c r="I15" s="138"/>
    </row>
    <row r="16" spans="2:9" s="32" customFormat="1" ht="25" customHeight="1" x14ac:dyDescent="0.2">
      <c r="B16" s="72"/>
      <c r="C16" s="139">
        <f t="array" ref="C16:I16">DaysAndWeeks+DATE(CalendarYear,1,1)-WEEKDAY(DATE(CalendarYear,1,1),(WeekStart="M")+1)+36</f>
        <v>45690</v>
      </c>
      <c r="D16" s="27">
        <v>45691</v>
      </c>
      <c r="E16" s="27">
        <v>45692</v>
      </c>
      <c r="F16" s="27">
        <v>45693</v>
      </c>
      <c r="G16" s="27">
        <v>45694</v>
      </c>
      <c r="H16" s="27">
        <v>45695</v>
      </c>
      <c r="I16" s="28">
        <v>45696</v>
      </c>
    </row>
    <row r="17" spans="2:9" s="6" customFormat="1" ht="75" customHeight="1" x14ac:dyDescent="0.2">
      <c r="B17" s="70"/>
      <c r="C17" s="140"/>
      <c r="D17" s="142"/>
      <c r="E17" s="4"/>
      <c r="F17" s="4"/>
      <c r="G17" s="4"/>
      <c r="H17" s="154"/>
      <c r="I17" s="5"/>
    </row>
    <row r="18" spans="2:9" ht="125" customHeight="1" thickBot="1" x14ac:dyDescent="0.2">
      <c r="B18" s="71"/>
      <c r="C18" s="181" t="s">
        <v>5</v>
      </c>
      <c r="D18" s="182"/>
      <c r="E18" s="182"/>
      <c r="F18" s="182"/>
      <c r="G18" s="182"/>
      <c r="H18" s="182"/>
      <c r="I18" s="18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43" priority="6">
      <formula>DAY(C6)&gt;8</formula>
    </cfRule>
  </conditionalFormatting>
  <conditionalFormatting sqref="C8:H8">
    <cfRule type="expression" dxfId="42" priority="2">
      <formula>DAY(C8)&gt;8</formula>
    </cfRule>
  </conditionalFormatting>
  <conditionalFormatting sqref="C14:I14 C16:I16 E17:G17 I17 C18">
    <cfRule type="expression" dxfId="41" priority="4">
      <formula>AND(DAY(C14)&gt;=1,DAY(C14)&lt;=15)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2" zoomScaleNormal="100" workbookViewId="0">
      <pane ySplit="5" topLeftCell="A6" activePane="bottomLeft" state="frozen"/>
      <selection pane="bottomLeft" activeCell="F6" sqref="F6:H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8" t="s">
        <v>39</v>
      </c>
      <c r="D2" s="179"/>
      <c r="E2" s="179"/>
      <c r="F2" s="179"/>
      <c r="G2" s="179"/>
      <c r="H2" s="179"/>
      <c r="I2" s="180"/>
    </row>
    <row r="3" spans="2:9" ht="20" customHeight="1" x14ac:dyDescent="0.15">
      <c r="B3" s="71"/>
      <c r="C3" s="46"/>
      <c r="D3" s="30"/>
      <c r="E3" s="30"/>
      <c r="F3" s="30"/>
      <c r="G3" s="46" t="s">
        <v>6</v>
      </c>
      <c r="H3" s="46" t="s">
        <v>7</v>
      </c>
      <c r="I3" s="84"/>
    </row>
    <row r="4" spans="2:9" ht="75" customHeight="1" x14ac:dyDescent="0.65">
      <c r="B4" s="71"/>
      <c r="C4" s="134">
        <f>CalendarYear</f>
        <v>2025</v>
      </c>
      <c r="D4" s="185" t="s">
        <v>8</v>
      </c>
      <c r="E4" s="185"/>
      <c r="F4" s="185"/>
      <c r="G4" s="185"/>
      <c r="H4" s="185"/>
      <c r="I4" s="135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4" customFormat="1" ht="25" customHeight="1" x14ac:dyDescent="0.2">
      <c r="B6" s="74"/>
      <c r="C6" s="48">
        <f t="array" ref="C6:I6">DaysAndWeeks+DATE(CalendarYear,2,1)-WEEKDAY(DATE(CalendarYear,2,1),(WeekStart="M")+1)+1</f>
        <v>45683</v>
      </c>
      <c r="D6" s="39">
        <v>45684</v>
      </c>
      <c r="E6" s="35">
        <v>45685</v>
      </c>
      <c r="F6" s="35">
        <v>45686</v>
      </c>
      <c r="G6" s="35">
        <v>45687</v>
      </c>
      <c r="H6" s="35">
        <v>45688</v>
      </c>
      <c r="I6" s="107">
        <v>45689</v>
      </c>
    </row>
    <row r="7" spans="2:9" s="6" customFormat="1" ht="75" customHeight="1" x14ac:dyDescent="0.15">
      <c r="B7" s="70"/>
      <c r="C7" s="47"/>
      <c r="D7" s="130"/>
      <c r="E7" s="142"/>
      <c r="F7" s="192"/>
      <c r="G7" s="193"/>
      <c r="H7" s="130"/>
      <c r="I7" s="108"/>
    </row>
    <row r="8" spans="2:9" s="34" customFormat="1" ht="25" customHeight="1" x14ac:dyDescent="0.2">
      <c r="B8" s="74"/>
      <c r="C8" s="111">
        <f t="array" ref="C8:I8">DaysAndWeeks+DATE(CalendarYear,2,1)-WEEKDAY(DATE(CalendarYear,2,1),(WeekStart="M")+1)+8</f>
        <v>45690</v>
      </c>
      <c r="D8" s="106">
        <v>45691</v>
      </c>
      <c r="E8" s="109">
        <v>45692</v>
      </c>
      <c r="F8" s="109">
        <v>45693</v>
      </c>
      <c r="G8" s="109">
        <v>45694</v>
      </c>
      <c r="H8" s="109">
        <v>45695</v>
      </c>
      <c r="I8" s="107">
        <v>45696</v>
      </c>
    </row>
    <row r="9" spans="2:9" s="51" customFormat="1" ht="75" customHeight="1" x14ac:dyDescent="0.15">
      <c r="B9" s="79"/>
      <c r="C9" s="119"/>
      <c r="D9" s="121"/>
      <c r="E9" s="120"/>
      <c r="F9" s="110"/>
      <c r="G9" s="121"/>
      <c r="H9" s="121"/>
      <c r="I9" s="80"/>
    </row>
    <row r="10" spans="2:9" s="34" customFormat="1" ht="25" customHeight="1" x14ac:dyDescent="0.2">
      <c r="B10" s="74"/>
      <c r="C10" s="111">
        <f t="array" ref="C10:I10">DaysAndWeeks+DATE(CalendarYear,2,1)-WEEKDAY(DATE(CalendarYear,2,1),(WeekStart="M")+1)+15</f>
        <v>45697</v>
      </c>
      <c r="D10" s="106">
        <v>45698</v>
      </c>
      <c r="E10" s="106">
        <v>45699</v>
      </c>
      <c r="F10" s="106">
        <v>45700</v>
      </c>
      <c r="G10" s="106">
        <v>45701</v>
      </c>
      <c r="H10" s="106">
        <v>45702</v>
      </c>
      <c r="I10" s="107">
        <v>45703</v>
      </c>
    </row>
    <row r="11" spans="2:9" s="51" customFormat="1" ht="75" customHeight="1" x14ac:dyDescent="0.15">
      <c r="B11" s="79"/>
      <c r="C11" s="119"/>
      <c r="D11" s="121"/>
      <c r="E11" s="121"/>
      <c r="F11" s="128"/>
      <c r="H11" s="121">
        <v>0.625</v>
      </c>
      <c r="I11" s="80"/>
    </row>
    <row r="12" spans="2:9" s="32" customFormat="1" ht="25" customHeight="1" x14ac:dyDescent="0.2">
      <c r="B12" s="72"/>
      <c r="C12" s="111">
        <f t="array" ref="C12:I12">DaysAndWeeks+DATE(CalendarYear,2,1)-WEEKDAY(DATE(CalendarYear,2,1),(WeekStart="M")+1)+22</f>
        <v>45704</v>
      </c>
      <c r="D12" s="106">
        <v>45705</v>
      </c>
      <c r="E12" s="106">
        <v>45706</v>
      </c>
      <c r="F12" s="106">
        <v>45707</v>
      </c>
      <c r="G12" s="106">
        <v>45708</v>
      </c>
      <c r="H12" s="106">
        <v>45709</v>
      </c>
      <c r="I12" s="107">
        <v>45710</v>
      </c>
    </row>
    <row r="13" spans="2:9" s="51" customFormat="1" ht="75" customHeight="1" x14ac:dyDescent="0.15">
      <c r="B13" s="79"/>
      <c r="C13" s="121">
        <v>0.625</v>
      </c>
      <c r="D13" s="121"/>
      <c r="E13" s="121"/>
      <c r="F13" s="50"/>
      <c r="H13" s="121"/>
      <c r="I13" s="80"/>
    </row>
    <row r="14" spans="2:9" s="32" customFormat="1" ht="25" customHeight="1" x14ac:dyDescent="0.2">
      <c r="B14" s="72"/>
      <c r="C14" s="111">
        <f t="array" ref="C14:I14">DaysAndWeeks+DATE(CalendarYear,2,1)-WEEKDAY(DATE(CalendarYear,2,1),(WeekStart="M")+1)+29</f>
        <v>45711</v>
      </c>
      <c r="D14" s="106">
        <v>45712</v>
      </c>
      <c r="E14" s="143">
        <v>45713</v>
      </c>
      <c r="F14" s="153">
        <v>45714</v>
      </c>
      <c r="G14" s="153">
        <v>45715</v>
      </c>
      <c r="H14" s="153">
        <v>45716</v>
      </c>
      <c r="I14" s="81">
        <v>45717</v>
      </c>
    </row>
    <row r="15" spans="2:9" s="51" customFormat="1" ht="75" customHeight="1" x14ac:dyDescent="0.15">
      <c r="B15" s="79"/>
      <c r="C15" s="119"/>
      <c r="D15" s="121"/>
      <c r="E15" s="144"/>
      <c r="F15" s="152"/>
      <c r="G15" s="152"/>
      <c r="H15" s="155"/>
      <c r="I15" s="82"/>
    </row>
    <row r="16" spans="2:9" s="32" customFormat="1" ht="25" customHeight="1" x14ac:dyDescent="0.2">
      <c r="B16" s="72"/>
      <c r="C16" s="78">
        <f t="array" ref="C16:I16">DaysAndWeeks+DATE(CalendarYear,2,1)-WEEKDAY(DATE(CalendarYear,2,1),(WeekStart="M")+1)+36</f>
        <v>45718</v>
      </c>
      <c r="D16" s="38">
        <v>45719</v>
      </c>
      <c r="E16" s="38">
        <v>45720</v>
      </c>
      <c r="F16" s="38">
        <v>45721</v>
      </c>
      <c r="G16" s="38">
        <v>45722</v>
      </c>
      <c r="H16" s="38">
        <v>45723</v>
      </c>
      <c r="I16" s="83">
        <v>45724</v>
      </c>
    </row>
    <row r="17" spans="2:9" s="6" customFormat="1" ht="75" customHeight="1" x14ac:dyDescent="0.15">
      <c r="B17" s="70"/>
      <c r="C17" s="47"/>
      <c r="D17" s="130"/>
      <c r="E17" s="3"/>
      <c r="F17" s="3"/>
      <c r="G17" s="3"/>
      <c r="H17" s="123"/>
      <c r="I17" s="90"/>
    </row>
    <row r="18" spans="2:9" ht="125" customHeight="1" thickBot="1" x14ac:dyDescent="0.2">
      <c r="B18" s="71"/>
      <c r="C18" s="181" t="s">
        <v>5</v>
      </c>
      <c r="D18" s="182"/>
      <c r="E18" s="182"/>
      <c r="F18" s="182"/>
      <c r="G18" s="182"/>
      <c r="H18" s="182"/>
      <c r="I18" s="18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C18">
    <cfRule type="expression" dxfId="40" priority="3">
      <formula>AND(DAY(C18)&gt;=1,DAY(C18)&lt;=15)</formula>
    </cfRule>
  </conditionalFormatting>
  <conditionalFormatting sqref="C6:D6">
    <cfRule type="expression" dxfId="39" priority="6">
      <formula>DAY(C6)&gt;8</formula>
    </cfRule>
  </conditionalFormatting>
  <conditionalFormatting sqref="C8:E8">
    <cfRule type="expression" dxfId="38" priority="4">
      <formula>DAY(C8)&gt;8</formula>
    </cfRule>
  </conditionalFormatting>
  <conditionalFormatting sqref="C14:I14 C15 F15:I15 C16:I16">
    <cfRule type="expression" dxfId="37" priority="7">
      <formula>AND(DAY(C14)&gt;=1,DAY(C14)&lt;=15)</formula>
    </cfRule>
  </conditionalFormatting>
  <conditionalFormatting sqref="E6:I6">
    <cfRule type="expression" dxfId="36" priority="8">
      <formula>DAY(E6)&gt;8</formula>
    </cfRule>
  </conditionalFormatting>
  <conditionalFormatting sqref="H17:I17">
    <cfRule type="expression" dxfId="35" priority="1">
      <formula>AND(DAY(H17)&gt;=1,DAY(H17)&lt;=15)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H7" sqref="H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8" t="s">
        <v>39</v>
      </c>
      <c r="D2" s="179"/>
      <c r="E2" s="179"/>
      <c r="F2" s="179"/>
      <c r="G2" s="179"/>
      <c r="H2" s="179"/>
      <c r="I2" s="180"/>
    </row>
    <row r="3" spans="2:9" ht="20" customHeight="1" x14ac:dyDescent="0.15">
      <c r="B3" s="71"/>
      <c r="C3" s="31"/>
      <c r="D3" s="29"/>
      <c r="E3" s="29"/>
      <c r="F3" s="30"/>
      <c r="G3" s="46" t="s">
        <v>9</v>
      </c>
      <c r="H3" s="46" t="s">
        <v>10</v>
      </c>
      <c r="I3" s="88"/>
    </row>
    <row r="4" spans="2:9" ht="75" customHeight="1" x14ac:dyDescent="0.65">
      <c r="B4" s="71"/>
      <c r="C4" s="134">
        <f>CalendarYear</f>
        <v>2025</v>
      </c>
      <c r="D4" s="185" t="s">
        <v>11</v>
      </c>
      <c r="E4" s="185"/>
      <c r="F4" s="185"/>
      <c r="G4" s="185"/>
      <c r="H4" s="185"/>
      <c r="I4" s="135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60">
        <f t="array" ref="C6:I6">DaysAndWeeks+DATE(CalendarYear,3,1)-WEEKDAY(DATE(CalendarYear,3,1),(WeekStart="M")+1)+1</f>
        <v>45711</v>
      </c>
      <c r="D6" s="35">
        <v>45712</v>
      </c>
      <c r="E6" s="35">
        <v>45713</v>
      </c>
      <c r="F6" s="35">
        <v>45714</v>
      </c>
      <c r="G6" s="35">
        <v>45715</v>
      </c>
      <c r="H6" s="35">
        <v>45716</v>
      </c>
      <c r="I6" s="64">
        <v>45717</v>
      </c>
    </row>
    <row r="7" spans="2:9" s="51" customFormat="1" ht="75" customHeight="1" x14ac:dyDescent="0.15">
      <c r="B7" s="79"/>
      <c r="C7" s="89"/>
      <c r="D7" s="52"/>
      <c r="E7" s="130"/>
      <c r="F7" s="52"/>
      <c r="G7" s="156"/>
      <c r="H7" s="130"/>
      <c r="I7" s="80"/>
    </row>
    <row r="8" spans="2:9" s="32" customFormat="1" ht="25" customHeight="1" x14ac:dyDescent="0.2">
      <c r="B8" s="72"/>
      <c r="C8" s="36">
        <f t="array" ref="C8:I8">DaysAndWeeks+DATE(CalendarYear,3,1)-WEEKDAY(DATE(CalendarYear,3,1),(WeekStart="M")+1)+8</f>
        <v>45718</v>
      </c>
      <c r="D8" s="33">
        <v>45719</v>
      </c>
      <c r="E8" s="33">
        <v>45720</v>
      </c>
      <c r="F8" s="33">
        <v>45721</v>
      </c>
      <c r="G8" s="36">
        <v>45722</v>
      </c>
      <c r="H8" s="33">
        <v>45723</v>
      </c>
      <c r="I8" s="64">
        <v>45724</v>
      </c>
    </row>
    <row r="9" spans="2:9" s="51" customFormat="1" ht="75" customHeight="1" x14ac:dyDescent="0.15">
      <c r="B9" s="79"/>
      <c r="C9" s="119"/>
      <c r="D9" s="121"/>
      <c r="E9" s="121"/>
      <c r="F9" s="50"/>
      <c r="G9" s="122"/>
      <c r="H9" s="121"/>
      <c r="I9" s="80"/>
    </row>
    <row r="10" spans="2:9" s="32" customFormat="1" ht="25" customHeight="1" x14ac:dyDescent="0.2">
      <c r="B10" s="72"/>
      <c r="C10" s="36">
        <f t="array" ref="C10:I10">DaysAndWeeks+DATE(CalendarYear,3,1)-WEEKDAY(DATE(CalendarYear,3,1),(WeekStart="M")+1)+15</f>
        <v>45725</v>
      </c>
      <c r="D10" s="33">
        <v>45726</v>
      </c>
      <c r="E10" s="33">
        <v>45727</v>
      </c>
      <c r="F10" s="33">
        <v>45728</v>
      </c>
      <c r="G10" s="33">
        <v>45729</v>
      </c>
      <c r="H10" s="33">
        <v>45730</v>
      </c>
      <c r="I10" s="64">
        <v>45731</v>
      </c>
    </row>
    <row r="11" spans="2:9" s="51" customFormat="1" ht="75" customHeight="1" x14ac:dyDescent="0.15">
      <c r="B11" s="79"/>
      <c r="C11" s="119"/>
      <c r="D11" s="121"/>
      <c r="E11" s="121"/>
      <c r="F11" s="50"/>
      <c r="H11" s="121">
        <v>0.625</v>
      </c>
      <c r="I11" s="80"/>
    </row>
    <row r="12" spans="2:9" s="32" customFormat="1" ht="25" customHeight="1" x14ac:dyDescent="0.2">
      <c r="B12" s="72"/>
      <c r="C12" s="36">
        <f t="array" ref="C12:I12">DaysAndWeeks+DATE(CalendarYear,3,1)-WEEKDAY(DATE(CalendarYear,3,1),(WeekStart="M")+1)+22</f>
        <v>45732</v>
      </c>
      <c r="D12" s="33">
        <v>45733</v>
      </c>
      <c r="E12" s="33">
        <v>45734</v>
      </c>
      <c r="F12" s="33">
        <v>45735</v>
      </c>
      <c r="G12" s="33">
        <v>45736</v>
      </c>
      <c r="H12" s="37">
        <v>45737</v>
      </c>
      <c r="I12" s="85">
        <v>45738</v>
      </c>
    </row>
    <row r="13" spans="2:9" s="51" customFormat="1" ht="75" customHeight="1" x14ac:dyDescent="0.15">
      <c r="B13" s="79"/>
      <c r="C13" s="121">
        <v>0.625</v>
      </c>
      <c r="D13" s="121"/>
      <c r="E13" s="121"/>
      <c r="F13" s="50"/>
      <c r="H13" s="121"/>
      <c r="I13" s="80"/>
    </row>
    <row r="14" spans="2:9" s="32" customFormat="1" ht="25" customHeight="1" x14ac:dyDescent="0.2">
      <c r="B14" s="72"/>
      <c r="C14" s="42">
        <f t="array" ref="C14:I14">DaysAndWeeks+DATE(CalendarYear,3,1)-WEEKDAY(DATE(CalendarYear,3,1),(WeekStart="M")+1)+29</f>
        <v>45739</v>
      </c>
      <c r="D14" s="33">
        <v>45740</v>
      </c>
      <c r="E14" s="33">
        <v>45741</v>
      </c>
      <c r="F14" s="33">
        <v>45742</v>
      </c>
      <c r="G14" s="42">
        <v>45743</v>
      </c>
      <c r="H14" s="111">
        <v>45744</v>
      </c>
      <c r="I14" s="157">
        <v>45745</v>
      </c>
    </row>
    <row r="15" spans="2:9" s="51" customFormat="1" ht="75" customHeight="1" x14ac:dyDescent="0.15">
      <c r="B15" s="79"/>
      <c r="C15" s="119"/>
      <c r="D15" s="121"/>
      <c r="E15" s="121"/>
      <c r="F15" s="50"/>
      <c r="H15" s="119"/>
      <c r="I15" s="158"/>
    </row>
    <row r="16" spans="2:9" s="32" customFormat="1" ht="25" customHeight="1" x14ac:dyDescent="0.2">
      <c r="B16" s="72"/>
      <c r="C16" s="160">
        <f t="array" ref="C16:I16">DaysAndWeeks+DATE(CalendarYear,3,1)-WEEKDAY(DATE(CalendarYear,3,1),(WeekStart="M")+1)+36</f>
        <v>45746</v>
      </c>
      <c r="D16" s="136">
        <v>45747</v>
      </c>
      <c r="E16" s="35">
        <v>45748</v>
      </c>
      <c r="F16" s="35">
        <v>45749</v>
      </c>
      <c r="G16" s="35">
        <v>45750</v>
      </c>
      <c r="H16" s="35">
        <v>45751</v>
      </c>
      <c r="I16" s="66">
        <v>45752</v>
      </c>
    </row>
    <row r="17" spans="2:9" s="6" customFormat="1" ht="75" customHeight="1" x14ac:dyDescent="0.15">
      <c r="B17" s="70"/>
      <c r="C17" s="159"/>
      <c r="D17" s="121"/>
      <c r="E17" s="40"/>
      <c r="F17" s="40"/>
      <c r="G17" s="40"/>
      <c r="H17" s="161"/>
      <c r="I17" s="87"/>
    </row>
    <row r="18" spans="2:9" ht="125" customHeight="1" thickBot="1" x14ac:dyDescent="0.2">
      <c r="B18" s="71"/>
      <c r="C18" s="181" t="s">
        <v>5</v>
      </c>
      <c r="D18" s="182"/>
      <c r="E18" s="182"/>
      <c r="F18" s="182"/>
      <c r="G18" s="182"/>
      <c r="H18" s="182"/>
      <c r="I18" s="18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7">
    <cfRule type="expression" dxfId="34" priority="1">
      <formula>AND(DAY(C7)&gt;=1,DAY(C7)&lt;=15)</formula>
    </cfRule>
  </conditionalFormatting>
  <conditionalFormatting sqref="C17:C18">
    <cfRule type="expression" dxfId="33" priority="2">
      <formula>AND(DAY(C17)&gt;=1,DAY(C17)&lt;=15)</formula>
    </cfRule>
  </conditionalFormatting>
  <conditionalFormatting sqref="C6:H6">
    <cfRule type="expression" dxfId="32" priority="4">
      <formula>DAY(C6)&gt;8</formula>
    </cfRule>
  </conditionalFormatting>
  <conditionalFormatting sqref="C14:I14 C15 E15:F15 H15:I15 C16:I16 E17:I17">
    <cfRule type="expression" dxfId="31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H7" sqref="H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8" t="s">
        <v>39</v>
      </c>
      <c r="D2" s="179"/>
      <c r="E2" s="179"/>
      <c r="F2" s="179"/>
      <c r="G2" s="179"/>
      <c r="H2" s="179"/>
      <c r="I2" s="180"/>
    </row>
    <row r="3" spans="2:9" ht="20" customHeight="1" x14ac:dyDescent="0.15">
      <c r="B3" s="71"/>
      <c r="C3" s="18"/>
      <c r="D3" s="18"/>
      <c r="E3" s="43"/>
      <c r="F3" s="43"/>
      <c r="G3" s="18" t="s">
        <v>12</v>
      </c>
      <c r="H3" s="18" t="s">
        <v>13</v>
      </c>
      <c r="I3" s="92"/>
    </row>
    <row r="4" spans="2:9" ht="75" customHeight="1" x14ac:dyDescent="0.65">
      <c r="B4" s="71"/>
      <c r="C4" s="134">
        <f>CalendarYear</f>
        <v>2025</v>
      </c>
      <c r="D4" s="189" t="s">
        <v>14</v>
      </c>
      <c r="E4" s="189"/>
      <c r="F4" s="189"/>
      <c r="G4" s="189"/>
      <c r="H4" s="189"/>
      <c r="I4" s="135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41">
        <f t="array" ref="C6:I6">DaysAndWeeks+DATE(CalendarYear,4,1)-WEEKDAY(DATE(CalendarYear,4,1),(WeekStart="M")+1)+1</f>
        <v>45746</v>
      </c>
      <c r="D6" s="35">
        <v>45747</v>
      </c>
      <c r="E6" s="136">
        <v>45748</v>
      </c>
      <c r="F6" s="136">
        <v>45749</v>
      </c>
      <c r="G6" s="136">
        <v>45750</v>
      </c>
      <c r="H6" s="136">
        <v>45751</v>
      </c>
      <c r="I6" s="64">
        <v>45752</v>
      </c>
    </row>
    <row r="7" spans="2:9" s="51" customFormat="1" ht="75" customHeight="1" x14ac:dyDescent="0.15">
      <c r="B7" s="79"/>
      <c r="C7" s="53"/>
      <c r="D7" s="161"/>
      <c r="E7" s="163"/>
      <c r="F7" s="152"/>
      <c r="G7" s="155"/>
      <c r="H7" s="119"/>
      <c r="I7" s="80"/>
    </row>
    <row r="8" spans="2:9" s="32" customFormat="1" ht="25" customHeight="1" x14ac:dyDescent="0.2">
      <c r="B8" s="72"/>
      <c r="C8" s="36">
        <f t="array" ref="C8:I8">DaysAndWeeks+DATE(CalendarYear,4,1)-WEEKDAY(DATE(CalendarYear,4,1),(WeekStart="M")+1)+8</f>
        <v>45753</v>
      </c>
      <c r="D8" s="33">
        <v>45754</v>
      </c>
      <c r="E8" s="33">
        <v>45755</v>
      </c>
      <c r="F8" s="33">
        <v>45756</v>
      </c>
      <c r="G8" s="33">
        <v>45757</v>
      </c>
      <c r="H8" s="33">
        <v>45758</v>
      </c>
      <c r="I8" s="64">
        <v>45759</v>
      </c>
    </row>
    <row r="9" spans="2:9" s="51" customFormat="1" ht="75" customHeight="1" x14ac:dyDescent="0.15">
      <c r="B9" s="79"/>
      <c r="D9" s="119"/>
      <c r="E9" s="121"/>
      <c r="F9" s="50"/>
      <c r="H9" s="119"/>
      <c r="I9" s="80"/>
    </row>
    <row r="10" spans="2:9" s="32" customFormat="1" ht="25" customHeight="1" x14ac:dyDescent="0.2">
      <c r="B10" s="72"/>
      <c r="C10" s="36">
        <f t="array" ref="C10:I10">DaysAndWeeks+DATE(CalendarYear,4,1)-WEEKDAY(DATE(CalendarYear,4,1),(WeekStart="M")+1)+15</f>
        <v>45760</v>
      </c>
      <c r="D10" s="33">
        <v>45761</v>
      </c>
      <c r="E10" s="33">
        <v>45762</v>
      </c>
      <c r="F10" s="33">
        <v>45763</v>
      </c>
      <c r="G10" s="33">
        <v>45764</v>
      </c>
      <c r="H10" s="33">
        <v>45765</v>
      </c>
      <c r="I10" s="64">
        <v>45766</v>
      </c>
    </row>
    <row r="11" spans="2:9" s="51" customFormat="1" ht="75" customHeight="1" x14ac:dyDescent="0.15">
      <c r="B11" s="79"/>
      <c r="C11" s="119"/>
      <c r="D11" s="119"/>
      <c r="E11" s="121"/>
      <c r="F11" s="50"/>
      <c r="H11" s="121">
        <v>0.625</v>
      </c>
      <c r="I11" s="80"/>
    </row>
    <row r="12" spans="2:9" s="32" customFormat="1" ht="25" customHeight="1" x14ac:dyDescent="0.2">
      <c r="B12" s="72"/>
      <c r="C12" s="36">
        <f t="array" ref="C12:I12">DaysAndWeeks+DATE(CalendarYear,4,1)-WEEKDAY(DATE(CalendarYear,4,1),(WeekStart="M")+1)+22</f>
        <v>45767</v>
      </c>
      <c r="D12" s="33">
        <v>45768</v>
      </c>
      <c r="E12" s="33">
        <v>45769</v>
      </c>
      <c r="F12" s="33">
        <v>45770</v>
      </c>
      <c r="G12" s="33">
        <v>45771</v>
      </c>
      <c r="H12" s="33">
        <v>45772</v>
      </c>
      <c r="I12" s="64">
        <v>45773</v>
      </c>
    </row>
    <row r="13" spans="2:9" s="51" customFormat="1" ht="75" customHeight="1" x14ac:dyDescent="0.15">
      <c r="B13" s="79"/>
      <c r="C13" s="121">
        <v>0.625</v>
      </c>
      <c r="D13" s="119"/>
      <c r="E13" s="121"/>
      <c r="F13" s="50"/>
      <c r="H13" s="121"/>
      <c r="I13" s="80"/>
    </row>
    <row r="14" spans="2:9" s="32" customFormat="1" ht="25" customHeight="1" x14ac:dyDescent="0.2">
      <c r="B14" s="72"/>
      <c r="C14" s="36">
        <f t="array" ref="C14:I14">DaysAndWeeks+DATE(CalendarYear,4,1)-WEEKDAY(DATE(CalendarYear,4,1),(WeekStart="M")+1)+29</f>
        <v>45774</v>
      </c>
      <c r="D14" s="33">
        <v>45775</v>
      </c>
      <c r="E14" s="33">
        <v>45776</v>
      </c>
      <c r="F14" s="33">
        <v>45777</v>
      </c>
      <c r="G14" s="35">
        <v>45778</v>
      </c>
      <c r="H14" s="35">
        <v>45779</v>
      </c>
      <c r="I14" s="66">
        <v>45780</v>
      </c>
    </row>
    <row r="15" spans="2:9" s="51" customFormat="1" ht="75" customHeight="1" x14ac:dyDescent="0.15">
      <c r="B15" s="79"/>
      <c r="C15" s="119"/>
      <c r="D15" s="119"/>
      <c r="E15" s="124"/>
      <c r="F15" s="50"/>
      <c r="G15" s="156"/>
      <c r="H15" s="130"/>
      <c r="I15" s="86"/>
    </row>
    <row r="16" spans="2:9" s="32" customFormat="1" ht="25" customHeight="1" x14ac:dyDescent="0.2">
      <c r="B16" s="72"/>
      <c r="C16" s="162">
        <f t="array" ref="C16:I16">DaysAndWeeks+DATE(CalendarYear,4,1)-WEEKDAY(DATE(CalendarYear,4,1),(WeekStart="M")+1)+36</f>
        <v>45781</v>
      </c>
      <c r="D16" s="49">
        <v>45782</v>
      </c>
      <c r="E16" s="49">
        <v>45783</v>
      </c>
      <c r="F16" s="49">
        <v>45784</v>
      </c>
      <c r="G16" s="49">
        <v>45785</v>
      </c>
      <c r="H16" s="49">
        <v>45786</v>
      </c>
      <c r="I16" s="91">
        <v>45787</v>
      </c>
    </row>
    <row r="17" spans="2:9" s="6" customFormat="1" ht="75" customHeight="1" x14ac:dyDescent="0.15">
      <c r="B17" s="70"/>
      <c r="C17" s="130"/>
      <c r="D17" s="161"/>
      <c r="E17" s="40"/>
      <c r="F17" s="40"/>
      <c r="G17" s="40"/>
      <c r="H17" s="130"/>
      <c r="I17" s="87"/>
    </row>
    <row r="18" spans="2:9" ht="125" customHeight="1" thickBot="1" x14ac:dyDescent="0.2">
      <c r="B18" s="71"/>
      <c r="C18" s="186" t="s">
        <v>5</v>
      </c>
      <c r="D18" s="187"/>
      <c r="E18" s="187"/>
      <c r="F18" s="187"/>
      <c r="G18" s="187"/>
      <c r="H18" s="187"/>
      <c r="I18" s="18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7:C18">
    <cfRule type="expression" dxfId="30" priority="6">
      <formula>AND(DAY(C17)&gt;=1,DAY(C17)&lt;=15)</formula>
    </cfRule>
  </conditionalFormatting>
  <conditionalFormatting sqref="C6:H6">
    <cfRule type="expression" dxfId="29" priority="11">
      <formula>DAY(C6)&gt;8</formula>
    </cfRule>
  </conditionalFormatting>
  <conditionalFormatting sqref="C14:I14 F15 H15:I15 C16:I16 E17:I17">
    <cfRule type="expression" dxfId="28" priority="10">
      <formula>AND(DAY(C14)&gt;=1,DAY(C14)&lt;=15)</formula>
    </cfRule>
  </conditionalFormatting>
  <conditionalFormatting sqref="H13">
    <cfRule type="expression" dxfId="26" priority="8">
      <formula>AND(DAY(H13)&gt;=1,DAY(H13)&lt;=15)</formula>
    </cfRule>
  </conditionalFormatting>
  <conditionalFormatting sqref="H11">
    <cfRule type="expression" dxfId="1" priority="2">
      <formula>AND(DAY(H11)&gt;=1,DAY(H11)&lt;=15)</formula>
    </cfRule>
  </conditionalFormatting>
  <conditionalFormatting sqref="C13">
    <cfRule type="expression" dxfId="0" priority="1">
      <formula>AND(DAY(C13)&gt;=1,DAY(C13)&lt;=15)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H9" sqref="H9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8" t="s">
        <v>39</v>
      </c>
      <c r="D2" s="179"/>
      <c r="E2" s="179"/>
      <c r="F2" s="179"/>
      <c r="G2" s="179"/>
      <c r="H2" s="179"/>
      <c r="I2" s="180"/>
    </row>
    <row r="3" spans="2:9" ht="20" customHeight="1" x14ac:dyDescent="0.3">
      <c r="B3" s="71"/>
      <c r="C3" s="54"/>
      <c r="D3" s="55"/>
      <c r="E3" s="55"/>
      <c r="F3" s="29"/>
      <c r="G3" s="18" t="s">
        <v>15</v>
      </c>
      <c r="H3" s="18" t="s">
        <v>16</v>
      </c>
      <c r="I3" s="75"/>
    </row>
    <row r="4" spans="2:9" ht="75" customHeight="1" x14ac:dyDescent="0.65">
      <c r="B4" s="71"/>
      <c r="C4" s="134">
        <f>CalendarYear</f>
        <v>2025</v>
      </c>
      <c r="D4" s="189" t="s">
        <v>17</v>
      </c>
      <c r="E4" s="189"/>
      <c r="F4" s="189"/>
      <c r="G4" s="189"/>
      <c r="H4" s="189"/>
      <c r="I4" s="135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4" customFormat="1" ht="25" customHeight="1" x14ac:dyDescent="0.2">
      <c r="B6" s="74"/>
      <c r="C6" s="60">
        <f t="array" ref="C6:I6">DaysAndWeeks+DATE(CalendarYear,5,1)-WEEKDAY(DATE(CalendarYear,5,1),(WeekStart="M")+1)+1</f>
        <v>45774</v>
      </c>
      <c r="D6" s="35">
        <v>45775</v>
      </c>
      <c r="E6" s="49">
        <v>45776</v>
      </c>
      <c r="F6" s="49">
        <v>45777</v>
      </c>
      <c r="G6" s="112">
        <v>45778</v>
      </c>
      <c r="H6" s="112">
        <v>45779</v>
      </c>
      <c r="I6" s="113">
        <v>45780</v>
      </c>
    </row>
    <row r="7" spans="2:9" s="51" customFormat="1" ht="75" customHeight="1" x14ac:dyDescent="0.15">
      <c r="B7" s="79"/>
      <c r="C7" s="145"/>
      <c r="D7" s="161"/>
      <c r="E7" s="123"/>
      <c r="F7" s="52"/>
      <c r="H7" s="119"/>
      <c r="I7" s="80"/>
    </row>
    <row r="8" spans="2:9" s="34" customFormat="1" ht="25" customHeight="1" x14ac:dyDescent="0.2">
      <c r="B8" s="74"/>
      <c r="C8" s="111">
        <f t="array" ref="C8:I8">DaysAndWeeks+DATE(CalendarYear,5,1)-WEEKDAY(DATE(CalendarYear,5,1),(WeekStart="M")+1)+8</f>
        <v>45781</v>
      </c>
      <c r="D8" s="106">
        <v>45782</v>
      </c>
      <c r="E8" s="106">
        <v>45783</v>
      </c>
      <c r="F8" s="106">
        <v>45784</v>
      </c>
      <c r="G8" s="106">
        <v>45785</v>
      </c>
      <c r="H8" s="106">
        <v>45786</v>
      </c>
      <c r="I8" s="107">
        <v>45787</v>
      </c>
    </row>
    <row r="9" spans="2:9" s="51" customFormat="1" ht="75" customHeight="1" x14ac:dyDescent="0.15">
      <c r="B9" s="79"/>
      <c r="C9" s="119"/>
      <c r="D9" s="119"/>
      <c r="E9" s="125"/>
      <c r="F9" s="50"/>
      <c r="H9" s="119"/>
      <c r="I9" s="80"/>
    </row>
    <row r="10" spans="2:9" s="34" customFormat="1" ht="25" customHeight="1" x14ac:dyDescent="0.2">
      <c r="B10" s="74"/>
      <c r="C10" s="111">
        <f t="array" ref="C10:I10">DaysAndWeeks+DATE(CalendarYear,5,1)-WEEKDAY(DATE(CalendarYear,5,1),(WeekStart="M")+1)+15</f>
        <v>45788</v>
      </c>
      <c r="D10" s="106">
        <v>45789</v>
      </c>
      <c r="E10" s="106">
        <v>45790</v>
      </c>
      <c r="F10" s="114">
        <v>45791</v>
      </c>
      <c r="G10" s="106">
        <v>45792</v>
      </c>
      <c r="H10" s="106">
        <v>45793</v>
      </c>
      <c r="I10" s="107">
        <v>45794</v>
      </c>
    </row>
    <row r="11" spans="2:9" s="51" customFormat="1" ht="75" customHeight="1" x14ac:dyDescent="0.15">
      <c r="B11" s="79"/>
      <c r="C11" s="119"/>
      <c r="D11" s="119"/>
      <c r="E11" s="125"/>
      <c r="F11" s="115"/>
      <c r="H11" s="119">
        <v>0.625</v>
      </c>
      <c r="I11" s="80"/>
    </row>
    <row r="12" spans="2:9" s="34" customFormat="1" ht="25" customHeight="1" x14ac:dyDescent="0.2">
      <c r="B12" s="74"/>
      <c r="C12" s="111">
        <f t="array" ref="C12:I12">DaysAndWeeks+DATE(CalendarYear,5,1)-WEEKDAY(DATE(CalendarYear,5,1),(WeekStart="M")+1)+22</f>
        <v>45795</v>
      </c>
      <c r="D12" s="106">
        <v>45796</v>
      </c>
      <c r="E12" s="106">
        <v>45797</v>
      </c>
      <c r="F12" s="106">
        <v>45798</v>
      </c>
      <c r="G12" s="106">
        <v>45799</v>
      </c>
      <c r="H12" s="106">
        <v>45800</v>
      </c>
      <c r="I12" s="107">
        <v>45801</v>
      </c>
    </row>
    <row r="13" spans="2:9" s="51" customFormat="1" ht="75" customHeight="1" x14ac:dyDescent="0.15">
      <c r="B13" s="79"/>
      <c r="C13" s="119">
        <v>0.625</v>
      </c>
      <c r="D13" s="119"/>
      <c r="E13" s="125"/>
      <c r="F13" s="50"/>
      <c r="H13" s="119"/>
      <c r="I13" s="80"/>
    </row>
    <row r="14" spans="2:9" s="34" customFormat="1" ht="25" customHeight="1" x14ac:dyDescent="0.2">
      <c r="B14" s="74"/>
      <c r="C14" s="111">
        <f t="array" ref="C14:I14">DaysAndWeeks+DATE(CalendarYear,5,1)-WEEKDAY(DATE(CalendarYear,5,1),(WeekStart="M")+1)+29</f>
        <v>45802</v>
      </c>
      <c r="D14" s="106">
        <v>45803</v>
      </c>
      <c r="E14" s="106">
        <v>45804</v>
      </c>
      <c r="F14" s="106">
        <v>45805</v>
      </c>
      <c r="G14" s="136">
        <v>45806</v>
      </c>
      <c r="H14" s="136">
        <v>45807</v>
      </c>
      <c r="I14" s="157">
        <v>45808</v>
      </c>
    </row>
    <row r="15" spans="2:9" s="51" customFormat="1" ht="75" customHeight="1" x14ac:dyDescent="0.15">
      <c r="B15" s="79"/>
      <c r="C15" s="119"/>
      <c r="D15" s="119"/>
      <c r="E15" s="125"/>
      <c r="F15" s="50"/>
      <c r="G15" s="152"/>
      <c r="H15" s="119"/>
      <c r="I15" s="158"/>
    </row>
    <row r="16" spans="2:9" s="32" customFormat="1" ht="25" customHeight="1" x14ac:dyDescent="0.2">
      <c r="B16" s="72"/>
      <c r="C16" s="41">
        <f t="array" ref="C16:I16">DaysAndWeeks+DATE(CalendarYear,5,1)-WEEKDAY(DATE(CalendarYear,5,1),(WeekStart="M")+1)+36</f>
        <v>45809</v>
      </c>
      <c r="D16" s="35">
        <v>45810</v>
      </c>
      <c r="E16" s="35">
        <v>45811</v>
      </c>
      <c r="F16" s="35">
        <v>45812</v>
      </c>
      <c r="G16" s="35">
        <v>45813</v>
      </c>
      <c r="H16" s="35">
        <v>45814</v>
      </c>
      <c r="I16" s="66">
        <v>45815</v>
      </c>
    </row>
    <row r="17" spans="2:9" ht="75" customHeight="1" x14ac:dyDescent="0.15">
      <c r="B17" s="71"/>
      <c r="C17" s="45"/>
      <c r="D17" s="161"/>
      <c r="E17" s="44"/>
      <c r="F17" s="44"/>
      <c r="G17" s="44"/>
      <c r="H17" s="161"/>
      <c r="I17" s="93"/>
    </row>
    <row r="18" spans="2:9" ht="125" customHeight="1" thickBot="1" x14ac:dyDescent="0.2">
      <c r="B18" s="71"/>
      <c r="C18" s="181" t="s">
        <v>5</v>
      </c>
      <c r="D18" s="182"/>
      <c r="E18" s="182"/>
      <c r="F18" s="182"/>
      <c r="G18" s="182"/>
      <c r="H18" s="182"/>
      <c r="I18" s="18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7:C18">
    <cfRule type="expression" dxfId="25" priority="1">
      <formula>AND(DAY(C17)&gt;=1,DAY(C17)&lt;=15)</formula>
    </cfRule>
  </conditionalFormatting>
  <conditionalFormatting sqref="C6:H6">
    <cfRule type="expression" dxfId="24" priority="3">
      <formula>DAY(C6)&gt;8</formula>
    </cfRule>
  </conditionalFormatting>
  <conditionalFormatting sqref="C14:I14 E15:G15 I15 C16:I16 E17:G17 I17">
    <cfRule type="expression" dxfId="23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D9" sqref="D9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8" t="s">
        <v>39</v>
      </c>
      <c r="D2" s="179"/>
      <c r="E2" s="179"/>
      <c r="F2" s="179"/>
      <c r="G2" s="179"/>
      <c r="H2" s="179"/>
      <c r="I2" s="180"/>
    </row>
    <row r="3" spans="2:9" ht="20" customHeight="1" x14ac:dyDescent="0.3">
      <c r="B3" s="71"/>
      <c r="C3" s="54"/>
      <c r="D3" s="55"/>
      <c r="E3" s="55"/>
      <c r="F3" s="56"/>
      <c r="G3" s="18" t="s">
        <v>18</v>
      </c>
      <c r="H3" s="18" t="s">
        <v>19</v>
      </c>
      <c r="I3" s="75"/>
    </row>
    <row r="4" spans="2:9" ht="75" customHeight="1" x14ac:dyDescent="0.65">
      <c r="B4" s="71"/>
      <c r="C4" s="134">
        <f>CalendarYear</f>
        <v>2025</v>
      </c>
      <c r="D4" s="189" t="s">
        <v>20</v>
      </c>
      <c r="E4" s="189"/>
      <c r="F4" s="189"/>
      <c r="G4" s="189"/>
      <c r="H4" s="189"/>
      <c r="I4" s="135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160">
        <f t="array" ref="C6:I6">DaysAndWeeks+DATE(CalendarYear,6,1)-WEEKDAY(DATE(CalendarYear,6,1),(WeekStart="M")+1)+1</f>
        <v>45809</v>
      </c>
      <c r="D6" s="136">
        <v>45810</v>
      </c>
      <c r="E6" s="136">
        <v>45811</v>
      </c>
      <c r="F6" s="136">
        <v>45812</v>
      </c>
      <c r="G6" s="33">
        <v>45813</v>
      </c>
      <c r="H6" s="33">
        <v>45814</v>
      </c>
      <c r="I6" s="64">
        <v>45815</v>
      </c>
    </row>
    <row r="7" spans="2:9" s="62" customFormat="1" ht="75" customHeight="1" x14ac:dyDescent="0.15">
      <c r="B7" s="73"/>
      <c r="C7" s="165"/>
      <c r="D7" s="119"/>
      <c r="E7" s="167"/>
      <c r="F7" s="168"/>
      <c r="H7" s="119"/>
      <c r="I7" s="65"/>
    </row>
    <row r="8" spans="2:9" s="34" customFormat="1" ht="25" customHeight="1" x14ac:dyDescent="0.2">
      <c r="B8" s="74"/>
      <c r="C8" s="36">
        <f t="array" ref="C8:I8">DaysAndWeeks+DATE(CalendarYear,6,1)-WEEKDAY(DATE(CalendarYear,6,1),(WeekStart="M")+1)+8</f>
        <v>45816</v>
      </c>
      <c r="D8" s="33">
        <v>45817</v>
      </c>
      <c r="E8" s="33">
        <v>45818</v>
      </c>
      <c r="F8" s="33">
        <v>45819</v>
      </c>
      <c r="G8" s="33">
        <v>45820</v>
      </c>
      <c r="H8" s="33">
        <v>45821</v>
      </c>
      <c r="I8" s="64">
        <v>45822</v>
      </c>
    </row>
    <row r="9" spans="2:9" s="62" customFormat="1" ht="75" customHeight="1" x14ac:dyDescent="0.15">
      <c r="B9" s="73"/>
      <c r="C9" s="119"/>
      <c r="D9" s="119"/>
      <c r="E9" s="126"/>
      <c r="F9" s="129"/>
      <c r="H9" s="119"/>
      <c r="I9" s="65"/>
    </row>
    <row r="10" spans="2:9" s="34" customFormat="1" ht="25" customHeight="1" x14ac:dyDescent="0.2">
      <c r="B10" s="74"/>
      <c r="C10" s="36">
        <f t="array" ref="C10:I10">DaysAndWeeks+DATE(CalendarYear,6,1)-WEEKDAY(DATE(CalendarYear,6,1),(WeekStart="M")+1)+15</f>
        <v>45823</v>
      </c>
      <c r="D10" s="33">
        <v>45824</v>
      </c>
      <c r="E10" s="33">
        <v>45825</v>
      </c>
      <c r="F10" s="33">
        <v>45826</v>
      </c>
      <c r="G10" s="33">
        <v>45827</v>
      </c>
      <c r="H10" s="33">
        <v>45828</v>
      </c>
      <c r="I10" s="64">
        <v>45829</v>
      </c>
    </row>
    <row r="11" spans="2:9" s="62" customFormat="1" ht="75" customHeight="1" x14ac:dyDescent="0.15">
      <c r="B11" s="73"/>
      <c r="C11" s="119"/>
      <c r="D11" s="119"/>
      <c r="E11" s="126"/>
      <c r="F11" s="129"/>
      <c r="H11" s="119">
        <v>0.625</v>
      </c>
      <c r="I11" s="65"/>
    </row>
    <row r="12" spans="2:9" s="34" customFormat="1" ht="25" customHeight="1" x14ac:dyDescent="0.2">
      <c r="B12" s="74"/>
      <c r="C12" s="36">
        <f t="array" ref="C12:I12">DaysAndWeeks+DATE(CalendarYear,6,1)-WEEKDAY(DATE(CalendarYear,6,1),(WeekStart="M")+1)+22</f>
        <v>45830</v>
      </c>
      <c r="D12" s="33">
        <v>45831</v>
      </c>
      <c r="E12" s="33">
        <v>45832</v>
      </c>
      <c r="F12" s="33">
        <v>45833</v>
      </c>
      <c r="G12" s="33">
        <v>45834</v>
      </c>
      <c r="H12" s="33">
        <v>45835</v>
      </c>
      <c r="I12" s="64">
        <v>45836</v>
      </c>
    </row>
    <row r="13" spans="2:9" s="62" customFormat="1" ht="75" customHeight="1" x14ac:dyDescent="0.15">
      <c r="B13" s="73"/>
      <c r="C13" s="119">
        <v>0.625</v>
      </c>
      <c r="D13" s="119"/>
      <c r="E13" s="126"/>
      <c r="F13" s="129"/>
      <c r="H13" s="119"/>
      <c r="I13" s="65"/>
    </row>
    <row r="14" spans="2:9" s="34" customFormat="1" ht="25" customHeight="1" x14ac:dyDescent="0.2">
      <c r="B14" s="74"/>
      <c r="C14" s="36">
        <f t="array" ref="C14:I14">DaysAndWeeks+DATE(CalendarYear,6,1)-WEEKDAY(DATE(CalendarYear,6,1),(WeekStart="M")+1)+29</f>
        <v>45837</v>
      </c>
      <c r="D14" s="33">
        <v>45838</v>
      </c>
      <c r="E14" s="35">
        <v>45839</v>
      </c>
      <c r="F14" s="35">
        <v>45840</v>
      </c>
      <c r="G14" s="35">
        <v>45841</v>
      </c>
      <c r="H14" s="35">
        <v>45842</v>
      </c>
      <c r="I14" s="66">
        <v>45843</v>
      </c>
    </row>
    <row r="15" spans="2:9" s="62" customFormat="1" ht="75" customHeight="1" x14ac:dyDescent="0.15">
      <c r="B15" s="73"/>
      <c r="C15" s="119"/>
      <c r="D15" s="119"/>
      <c r="E15" s="127"/>
      <c r="F15" s="146"/>
      <c r="G15" s="164"/>
      <c r="H15" s="161"/>
      <c r="I15" s="67"/>
    </row>
    <row r="16" spans="2:9" s="32" customFormat="1" ht="25" customHeight="1" x14ac:dyDescent="0.2">
      <c r="B16" s="72"/>
      <c r="C16" s="41">
        <f t="array" ref="C16:I16">DaysAndWeeks+DATE(CalendarYear,6,1)-WEEKDAY(DATE(CalendarYear,6,1),(WeekStart="M")+1)+36</f>
        <v>45844</v>
      </c>
      <c r="D16" s="35">
        <v>45845</v>
      </c>
      <c r="E16" s="35">
        <v>45846</v>
      </c>
      <c r="F16" s="35">
        <v>45847</v>
      </c>
      <c r="G16" s="35">
        <v>45848</v>
      </c>
      <c r="H16" s="35">
        <v>45849</v>
      </c>
      <c r="I16" s="66">
        <v>45850</v>
      </c>
    </row>
    <row r="17" spans="2:9" s="32" customFormat="1" ht="75" customHeight="1" x14ac:dyDescent="0.2">
      <c r="B17" s="72"/>
      <c r="C17" s="68"/>
      <c r="D17" s="161"/>
      <c r="E17" s="59"/>
      <c r="F17" s="59"/>
      <c r="G17" s="59"/>
      <c r="H17" s="161"/>
      <c r="I17" s="69"/>
    </row>
    <row r="18" spans="2:9" ht="125" customHeight="1" thickBot="1" x14ac:dyDescent="0.2">
      <c r="B18" s="71"/>
      <c r="C18" s="186" t="s">
        <v>5</v>
      </c>
      <c r="D18" s="187"/>
      <c r="E18" s="187"/>
      <c r="F18" s="187"/>
      <c r="G18" s="187"/>
      <c r="H18" s="187"/>
      <c r="I18" s="18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7:C18">
    <cfRule type="expression" dxfId="22" priority="1">
      <formula>AND(DAY(C17)&gt;=1,DAY(C17)&lt;=15)</formula>
    </cfRule>
  </conditionalFormatting>
  <conditionalFormatting sqref="C6:H6">
    <cfRule type="expression" dxfId="21" priority="3">
      <formula>DAY(C6)&gt;8</formula>
    </cfRule>
  </conditionalFormatting>
  <conditionalFormatting sqref="C14:I14 E15:F15 H15:I15 C16:I16 E17:I17">
    <cfRule type="expression" dxfId="20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D7" sqref="D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8" t="s">
        <v>39</v>
      </c>
      <c r="D2" s="179"/>
      <c r="E2" s="179"/>
      <c r="F2" s="179"/>
      <c r="G2" s="179"/>
      <c r="H2" s="179"/>
      <c r="I2" s="180"/>
    </row>
    <row r="3" spans="2:9" ht="20" customHeight="1" x14ac:dyDescent="0.3">
      <c r="B3" s="71"/>
      <c r="C3" s="54"/>
      <c r="D3" s="55"/>
      <c r="E3" s="55"/>
      <c r="F3" s="56"/>
      <c r="G3" s="18" t="s">
        <v>21</v>
      </c>
      <c r="H3" s="18" t="s">
        <v>22</v>
      </c>
      <c r="I3" s="75"/>
    </row>
    <row r="4" spans="2:9" ht="75" customHeight="1" x14ac:dyDescent="0.65">
      <c r="B4" s="71"/>
      <c r="C4" s="134">
        <f>CalendarYear</f>
        <v>2025</v>
      </c>
      <c r="D4" s="185" t="s">
        <v>23</v>
      </c>
      <c r="E4" s="185"/>
      <c r="F4" s="185"/>
      <c r="G4" s="185"/>
      <c r="H4" s="185"/>
      <c r="I4" s="135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4" customFormat="1" ht="25" customHeight="1" x14ac:dyDescent="0.2">
      <c r="B6" s="74"/>
      <c r="C6" s="41">
        <f t="array" ref="C6:I6">DaysAndWeeks+DATE(CalendarYear,7,1)-WEEKDAY(DATE(CalendarYear,7,1),(WeekStart="M")+1)+1</f>
        <v>45837</v>
      </c>
      <c r="D6" s="35">
        <v>45838</v>
      </c>
      <c r="E6" s="136">
        <v>45839</v>
      </c>
      <c r="F6" s="171">
        <v>45840</v>
      </c>
      <c r="G6" s="136">
        <v>45841</v>
      </c>
      <c r="H6" s="136">
        <v>45842</v>
      </c>
      <c r="I6" s="64">
        <v>45843</v>
      </c>
    </row>
    <row r="7" spans="2:9" s="51" customFormat="1" ht="75" customHeight="1" x14ac:dyDescent="0.15">
      <c r="B7" s="79"/>
      <c r="C7" s="53"/>
      <c r="D7" s="161"/>
      <c r="E7" s="152"/>
      <c r="F7" s="169"/>
      <c r="G7" s="170"/>
      <c r="H7" s="119"/>
      <c r="I7" s="80"/>
    </row>
    <row r="8" spans="2:9" s="34" customFormat="1" ht="25" customHeight="1" x14ac:dyDescent="0.2">
      <c r="B8" s="74"/>
      <c r="C8" s="36">
        <f t="array" ref="C8:I8">DaysAndWeeks+DATE(CalendarYear,7,1)-WEEKDAY(DATE(CalendarYear,7,1),(WeekStart="M")+1)+8</f>
        <v>45844</v>
      </c>
      <c r="D8" s="33">
        <v>45845</v>
      </c>
      <c r="E8" s="33">
        <v>45846</v>
      </c>
      <c r="F8" s="33">
        <v>45847</v>
      </c>
      <c r="G8" s="33">
        <v>45848</v>
      </c>
      <c r="H8" s="33">
        <v>45849</v>
      </c>
      <c r="I8" s="64">
        <v>45850</v>
      </c>
    </row>
    <row r="9" spans="2:9" s="51" customFormat="1" ht="75" customHeight="1" x14ac:dyDescent="0.15">
      <c r="B9" s="79"/>
      <c r="C9" s="119"/>
      <c r="D9" s="119"/>
      <c r="E9" s="125"/>
      <c r="F9" s="128"/>
      <c r="G9" s="119"/>
      <c r="H9" s="119"/>
      <c r="I9" s="80"/>
    </row>
    <row r="10" spans="2:9" s="34" customFormat="1" ht="25" customHeight="1" x14ac:dyDescent="0.2">
      <c r="B10" s="74"/>
      <c r="C10" s="36">
        <f t="array" ref="C10:I10">DaysAndWeeks+DATE(CalendarYear,7,1)-WEEKDAY(DATE(CalendarYear,7,1),(WeekStart="M")+1)+15</f>
        <v>45851</v>
      </c>
      <c r="D10" s="33">
        <v>45852</v>
      </c>
      <c r="E10" s="33">
        <v>45853</v>
      </c>
      <c r="F10" s="33">
        <v>45854</v>
      </c>
      <c r="G10" s="33">
        <v>45855</v>
      </c>
      <c r="H10" s="33">
        <v>45856</v>
      </c>
      <c r="I10" s="64">
        <v>45857</v>
      </c>
    </row>
    <row r="11" spans="2:9" s="51" customFormat="1" ht="75" customHeight="1" x14ac:dyDescent="0.15">
      <c r="B11" s="79"/>
      <c r="C11" s="119"/>
      <c r="D11" s="119"/>
      <c r="E11" s="125"/>
      <c r="F11" s="128"/>
      <c r="G11" s="119"/>
      <c r="H11" s="119">
        <v>0.625</v>
      </c>
      <c r="I11" s="80"/>
    </row>
    <row r="12" spans="2:9" s="34" customFormat="1" ht="25" customHeight="1" x14ac:dyDescent="0.2">
      <c r="B12" s="74"/>
      <c r="C12" s="36">
        <f t="array" ref="C12:I12">DaysAndWeeks+DATE(CalendarYear,7,1)-WEEKDAY(DATE(CalendarYear,7,1),(WeekStart="M")+1)+22</f>
        <v>45858</v>
      </c>
      <c r="D12" s="33">
        <v>45859</v>
      </c>
      <c r="E12" s="33">
        <v>45860</v>
      </c>
      <c r="F12" s="33">
        <v>45861</v>
      </c>
      <c r="G12" s="33">
        <v>45862</v>
      </c>
      <c r="H12" s="33">
        <v>45863</v>
      </c>
      <c r="I12" s="64">
        <v>45864</v>
      </c>
    </row>
    <row r="13" spans="2:9" s="51" customFormat="1" ht="75" customHeight="1" x14ac:dyDescent="0.15">
      <c r="B13" s="79"/>
      <c r="C13" s="119">
        <v>0.625</v>
      </c>
      <c r="D13" s="119"/>
      <c r="E13" s="125"/>
      <c r="F13" s="128"/>
      <c r="G13" s="119"/>
      <c r="H13" s="119"/>
      <c r="I13" s="80"/>
    </row>
    <row r="14" spans="2:9" s="32" customFormat="1" ht="25" customHeight="1" x14ac:dyDescent="0.2">
      <c r="B14" s="72"/>
      <c r="C14" s="36">
        <f t="array" ref="C14:I14">DaysAndWeeks+DATE(CalendarYear,7,1)-WEEKDAY(DATE(CalendarYear,7,1),(WeekStart="M")+1)+29</f>
        <v>45865</v>
      </c>
      <c r="D14" s="33">
        <v>45866</v>
      </c>
      <c r="E14" s="33">
        <v>45867</v>
      </c>
      <c r="F14" s="33">
        <v>45868</v>
      </c>
      <c r="G14" s="33">
        <v>45869</v>
      </c>
      <c r="H14" s="35">
        <v>45870</v>
      </c>
      <c r="I14" s="66">
        <v>45871</v>
      </c>
    </row>
    <row r="15" spans="2:9" s="51" customFormat="1" ht="75" customHeight="1" x14ac:dyDescent="0.15">
      <c r="B15" s="79"/>
      <c r="C15" s="119"/>
      <c r="D15" s="119"/>
      <c r="E15" s="125"/>
      <c r="F15" s="128"/>
      <c r="G15" s="119"/>
      <c r="H15" s="161"/>
      <c r="I15" s="172"/>
    </row>
    <row r="16" spans="2:9" s="34" customFormat="1" ht="25" customHeight="1" x14ac:dyDescent="0.2">
      <c r="B16" s="74"/>
      <c r="C16" s="41">
        <f t="array" ref="C16:I16">DaysAndWeeks+DATE(CalendarYear,7,1)-WEEKDAY(DATE(CalendarYear,7,1),(WeekStart="M")+1)+36</f>
        <v>45872</v>
      </c>
      <c r="D16" s="35">
        <v>45873</v>
      </c>
      <c r="E16" s="35">
        <v>45874</v>
      </c>
      <c r="F16" s="35">
        <v>45875</v>
      </c>
      <c r="G16" s="35">
        <v>45876</v>
      </c>
      <c r="H16" s="35">
        <v>45877</v>
      </c>
      <c r="I16" s="66">
        <v>45878</v>
      </c>
    </row>
    <row r="17" spans="2:9" s="51" customFormat="1" ht="75" customHeight="1" x14ac:dyDescent="0.15">
      <c r="B17" s="79"/>
      <c r="C17" s="161"/>
      <c r="D17" s="161"/>
      <c r="E17" s="52"/>
      <c r="F17" s="52"/>
      <c r="G17" s="52"/>
      <c r="H17" s="161"/>
      <c r="I17" s="86"/>
    </row>
    <row r="18" spans="2:9" ht="125" customHeight="1" thickBot="1" x14ac:dyDescent="0.2">
      <c r="B18" s="71"/>
      <c r="C18" s="181" t="s">
        <v>5</v>
      </c>
      <c r="D18" s="182"/>
      <c r="E18" s="182"/>
      <c r="F18" s="182"/>
      <c r="G18" s="182"/>
      <c r="H18" s="182"/>
      <c r="I18" s="18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9" priority="1">
      <formula>AND(DAY(C18)&gt;=1,DAY(C18)&lt;=15)</formula>
    </cfRule>
  </conditionalFormatting>
  <conditionalFormatting sqref="C6:H6">
    <cfRule type="expression" dxfId="18" priority="3">
      <formula>DAY(C6)&gt;8</formula>
    </cfRule>
  </conditionalFormatting>
  <conditionalFormatting sqref="C14:I14 E15:F15 I15 C16:I16 E17:G17 I17">
    <cfRule type="expression" dxfId="17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11" activePane="bottomLeft" state="frozen"/>
      <selection pane="bottomLeft" activeCell="C13" sqref="C13"/>
    </sheetView>
  </sheetViews>
  <sheetFormatPr baseColWidth="10" defaultColWidth="8.625" defaultRowHeight="17" x14ac:dyDescent="0.15"/>
  <cols>
    <col min="1" max="2" width="2.625" style="32" customWidth="1"/>
    <col min="3" max="9" width="24.375" style="32" customWidth="1"/>
    <col min="10" max="16384" width="8.625" style="32"/>
  </cols>
  <sheetData>
    <row r="1" spans="2:9" ht="15" customHeight="1" thickBot="1" x14ac:dyDescent="0.2"/>
    <row r="2" spans="2:9" ht="75" customHeight="1" thickTop="1" x14ac:dyDescent="0.15">
      <c r="B2" s="72"/>
      <c r="C2" s="178" t="s">
        <v>39</v>
      </c>
      <c r="D2" s="179"/>
      <c r="E2" s="179"/>
      <c r="F2" s="179"/>
      <c r="G2" s="179"/>
      <c r="H2" s="179"/>
      <c r="I2" s="180"/>
    </row>
    <row r="3" spans="2:9" ht="20" customHeight="1" x14ac:dyDescent="0.2">
      <c r="B3" s="72"/>
      <c r="C3" s="94"/>
      <c r="D3" s="95"/>
      <c r="E3" s="95"/>
      <c r="F3" s="96"/>
      <c r="G3" s="46" t="s">
        <v>24</v>
      </c>
      <c r="H3" s="46" t="s">
        <v>25</v>
      </c>
      <c r="I3" s="102"/>
    </row>
    <row r="4" spans="2:9" ht="75" customHeight="1" x14ac:dyDescent="0.65">
      <c r="B4" s="72"/>
      <c r="C4" s="134">
        <f>CalendarYear</f>
        <v>2025</v>
      </c>
      <c r="D4" s="185" t="s">
        <v>26</v>
      </c>
      <c r="E4" s="185"/>
      <c r="F4" s="185"/>
      <c r="G4" s="185"/>
      <c r="H4" s="185"/>
      <c r="I4" s="135"/>
    </row>
    <row r="5" spans="2:9" ht="35" customHeight="1" x14ac:dyDescent="0.15">
      <c r="B5" s="72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97" customFormat="1" ht="25" customHeight="1" x14ac:dyDescent="0.2">
      <c r="B6" s="100"/>
      <c r="C6" s="99">
        <f t="array" ref="C6:I6">DaysAndWeeks+DATE(CalendarYear,8,1)-WEEKDAY(DATE(CalendarYear,8,1),(WeekStart="M")+1)+1</f>
        <v>45865</v>
      </c>
      <c r="D6" s="99">
        <v>45866</v>
      </c>
      <c r="E6" s="27">
        <v>45867</v>
      </c>
      <c r="F6" s="27">
        <v>45868</v>
      </c>
      <c r="G6" s="27">
        <v>45869</v>
      </c>
      <c r="H6" s="58">
        <v>45870</v>
      </c>
      <c r="I6" s="101">
        <v>45871</v>
      </c>
    </row>
    <row r="7" spans="2:9" s="62" customFormat="1" ht="75" customHeight="1" x14ac:dyDescent="0.15">
      <c r="B7" s="73"/>
      <c r="C7" s="131"/>
      <c r="D7" s="161"/>
      <c r="E7" s="127"/>
      <c r="F7" s="146"/>
      <c r="G7" s="161"/>
      <c r="H7" s="119"/>
      <c r="I7" s="65"/>
    </row>
    <row r="8" spans="2:9" ht="25" customHeight="1" x14ac:dyDescent="0.2">
      <c r="B8" s="72"/>
      <c r="C8" s="36">
        <f t="array" ref="C8:I8">DaysAndWeeks+DATE(CalendarYear,8,1)-WEEKDAY(DATE(CalendarYear,8,1),(WeekStart="M")+1)+8</f>
        <v>45872</v>
      </c>
      <c r="D8" s="106">
        <v>45873</v>
      </c>
      <c r="E8" s="33">
        <v>45874</v>
      </c>
      <c r="F8" s="33">
        <v>45875</v>
      </c>
      <c r="G8" s="33">
        <v>45876</v>
      </c>
      <c r="H8" s="33">
        <v>45877</v>
      </c>
      <c r="I8" s="64">
        <v>45878</v>
      </c>
    </row>
    <row r="9" spans="2:9" s="62" customFormat="1" ht="75" customHeight="1" x14ac:dyDescent="0.15">
      <c r="B9" s="73"/>
      <c r="C9" s="119"/>
      <c r="D9" s="119"/>
      <c r="E9" s="126"/>
      <c r="F9" s="129"/>
      <c r="G9" s="119"/>
      <c r="H9" s="119"/>
      <c r="I9" s="65"/>
    </row>
    <row r="10" spans="2:9" ht="25" customHeight="1" x14ac:dyDescent="0.2">
      <c r="B10" s="72"/>
      <c r="C10" s="36">
        <f t="array" ref="C10:I10">DaysAndWeeks+DATE(CalendarYear,8,1)-WEEKDAY(DATE(CalendarYear,8,1),(WeekStart="M")+1)+15</f>
        <v>45879</v>
      </c>
      <c r="D10" s="106">
        <v>45880</v>
      </c>
      <c r="E10" s="33">
        <v>45881</v>
      </c>
      <c r="F10" s="33">
        <v>45882</v>
      </c>
      <c r="G10" s="33">
        <v>45883</v>
      </c>
      <c r="H10" s="33">
        <v>45884</v>
      </c>
      <c r="I10" s="64">
        <v>45885</v>
      </c>
    </row>
    <row r="11" spans="2:9" s="62" customFormat="1" ht="75" customHeight="1" x14ac:dyDescent="0.15">
      <c r="B11" s="73"/>
      <c r="C11" s="119"/>
      <c r="D11" s="119"/>
      <c r="E11" s="126"/>
      <c r="F11" s="129"/>
      <c r="G11" s="119"/>
      <c r="H11" s="119">
        <v>0.625</v>
      </c>
      <c r="I11" s="65"/>
    </row>
    <row r="12" spans="2:9" ht="25" customHeight="1" x14ac:dyDescent="0.2">
      <c r="B12" s="72"/>
      <c r="C12" s="36">
        <f t="array" ref="C12:I12">DaysAndWeeks+DATE(CalendarYear,8,1)-WEEKDAY(DATE(CalendarYear,8,1),(WeekStart="M")+1)+22</f>
        <v>45886</v>
      </c>
      <c r="D12" s="106">
        <v>45887</v>
      </c>
      <c r="E12" s="33">
        <v>45888</v>
      </c>
      <c r="F12" s="33">
        <v>45889</v>
      </c>
      <c r="G12" s="33">
        <v>45890</v>
      </c>
      <c r="H12" s="33">
        <v>45891</v>
      </c>
      <c r="I12" s="64">
        <v>45892</v>
      </c>
    </row>
    <row r="13" spans="2:9" s="62" customFormat="1" ht="75" customHeight="1" x14ac:dyDescent="0.15">
      <c r="B13" s="73"/>
      <c r="C13" s="119">
        <v>0.625</v>
      </c>
      <c r="D13" s="119"/>
      <c r="E13" s="126"/>
      <c r="F13" s="129"/>
      <c r="G13" s="119"/>
      <c r="H13" s="119"/>
      <c r="I13" s="65"/>
    </row>
    <row r="14" spans="2:9" ht="25" customHeight="1" x14ac:dyDescent="0.2">
      <c r="B14" s="72"/>
      <c r="C14" s="36">
        <f t="array" ref="C14:I14">DaysAndWeeks+DATE(CalendarYear,8,1)-WEEKDAY(DATE(CalendarYear,8,1),(WeekStart="M")+1)+29</f>
        <v>45893</v>
      </c>
      <c r="D14" s="33">
        <v>45894</v>
      </c>
      <c r="E14" s="33">
        <v>45895</v>
      </c>
      <c r="F14" s="33">
        <v>45896</v>
      </c>
      <c r="G14" s="106">
        <v>45897</v>
      </c>
      <c r="H14" s="136">
        <v>45898</v>
      </c>
      <c r="I14" s="157">
        <v>45899</v>
      </c>
    </row>
    <row r="15" spans="2:9" s="62" customFormat="1" ht="75" customHeight="1" x14ac:dyDescent="0.15">
      <c r="B15" s="73"/>
      <c r="C15" s="119"/>
      <c r="D15" s="119"/>
      <c r="E15" s="126"/>
      <c r="F15" s="57"/>
      <c r="G15" s="119"/>
      <c r="H15" s="119"/>
      <c r="I15" s="173"/>
    </row>
    <row r="16" spans="2:9" ht="25" customHeight="1" x14ac:dyDescent="0.2">
      <c r="B16" s="72"/>
      <c r="C16" s="160">
        <f t="array" ref="C16:I16">DaysAndWeeks+DATE(CalendarYear,8,1)-WEEKDAY(DATE(CalendarYear,8,1),(WeekStart="M")+1)+36</f>
        <v>45900</v>
      </c>
      <c r="D16" s="35">
        <v>45901</v>
      </c>
      <c r="E16" s="35">
        <v>45902</v>
      </c>
      <c r="F16" s="35">
        <v>45903</v>
      </c>
      <c r="G16" s="35">
        <v>45904</v>
      </c>
      <c r="H16" s="35">
        <v>45905</v>
      </c>
      <c r="I16" s="66">
        <v>45906</v>
      </c>
    </row>
    <row r="17" spans="2:9" s="62" customFormat="1" ht="75" customHeight="1" x14ac:dyDescent="0.15">
      <c r="B17" s="73"/>
      <c r="C17" s="165"/>
      <c r="D17" s="161"/>
      <c r="E17" s="61"/>
      <c r="F17" s="61"/>
      <c r="G17" s="61"/>
      <c r="H17" s="161"/>
      <c r="I17" s="67"/>
    </row>
    <row r="18" spans="2:9" s="1" customFormat="1" ht="125" customHeight="1" thickBot="1" x14ac:dyDescent="0.2">
      <c r="B18" s="71"/>
      <c r="C18" s="181" t="s">
        <v>5</v>
      </c>
      <c r="D18" s="182"/>
      <c r="E18" s="182"/>
      <c r="F18" s="182"/>
      <c r="G18" s="182"/>
      <c r="H18" s="182"/>
      <c r="I18" s="183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7:C18">
    <cfRule type="expression" dxfId="16" priority="1">
      <formula>AND(DAY(C17)&gt;=1,DAY(C17)&lt;=15)</formula>
    </cfRule>
  </conditionalFormatting>
  <conditionalFormatting sqref="C6:H6">
    <cfRule type="expression" dxfId="15" priority="3">
      <formula>DAY(C6)&gt;8</formula>
    </cfRule>
  </conditionalFormatting>
  <conditionalFormatting sqref="C14:I14 E15:F15 I15 C16:I16 E17:G17 I17">
    <cfRule type="expression" dxfId="14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8" activePane="bottomLeft" state="frozen"/>
      <selection pane="bottomLeft" activeCell="C13" sqref="C13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8" t="s">
        <v>39</v>
      </c>
      <c r="D2" s="179"/>
      <c r="E2" s="179"/>
      <c r="F2" s="179"/>
      <c r="G2" s="179"/>
      <c r="H2" s="179"/>
      <c r="I2" s="180"/>
    </row>
    <row r="3" spans="2:9" ht="20" customHeight="1" x14ac:dyDescent="0.3">
      <c r="B3" s="71"/>
      <c r="C3" s="54"/>
      <c r="D3" s="55"/>
      <c r="E3" s="55"/>
      <c r="F3" s="56"/>
      <c r="G3" s="18" t="s">
        <v>27</v>
      </c>
      <c r="H3" s="18" t="s">
        <v>28</v>
      </c>
      <c r="I3" s="75"/>
    </row>
    <row r="4" spans="2:9" ht="75" customHeight="1" x14ac:dyDescent="0.65">
      <c r="B4" s="71"/>
      <c r="C4" s="134">
        <f>CalendarYear</f>
        <v>2025</v>
      </c>
      <c r="D4" s="190" t="s">
        <v>29</v>
      </c>
      <c r="E4" s="190"/>
      <c r="F4" s="190"/>
      <c r="G4" s="190"/>
      <c r="H4" s="190"/>
      <c r="I4" s="133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4" customFormat="1" ht="25" customHeight="1" x14ac:dyDescent="0.2">
      <c r="B6" s="74"/>
      <c r="C6" s="41">
        <f t="array" ref="C6:I6">DaysAndWeeks+DATE(CalendarYear,9,1)-WEEKDAY(DATE(CalendarYear,9,1),(WeekStart="M")+1)+1</f>
        <v>45900</v>
      </c>
      <c r="D6" s="136">
        <v>45901</v>
      </c>
      <c r="E6" s="136">
        <v>45902</v>
      </c>
      <c r="F6" s="136">
        <v>45903</v>
      </c>
      <c r="G6" s="136">
        <v>45904</v>
      </c>
      <c r="H6" s="33">
        <v>45905</v>
      </c>
      <c r="I6" s="64">
        <v>45906</v>
      </c>
    </row>
    <row r="7" spans="2:9" s="51" customFormat="1" ht="75" customHeight="1" x14ac:dyDescent="0.15">
      <c r="B7" s="79"/>
      <c r="C7" s="53"/>
      <c r="D7" s="119"/>
      <c r="E7" s="152"/>
      <c r="F7" s="152"/>
      <c r="G7" s="170"/>
      <c r="H7" s="119"/>
      <c r="I7" s="80"/>
    </row>
    <row r="8" spans="2:9" s="34" customFormat="1" ht="25" customHeight="1" x14ac:dyDescent="0.2">
      <c r="B8" s="74"/>
      <c r="C8" s="36">
        <f t="array" ref="C8:I8">DaysAndWeeks+DATE(CalendarYear,9,1)-WEEKDAY(DATE(CalendarYear,9,1),(WeekStart="M")+1)+8</f>
        <v>45907</v>
      </c>
      <c r="D8" s="33">
        <v>45908</v>
      </c>
      <c r="E8" s="33">
        <v>45909</v>
      </c>
      <c r="F8" s="33">
        <v>45910</v>
      </c>
      <c r="G8" s="33">
        <v>45911</v>
      </c>
      <c r="H8" s="33">
        <v>45912</v>
      </c>
      <c r="I8" s="64">
        <v>45913</v>
      </c>
    </row>
    <row r="9" spans="2:9" s="51" customFormat="1" ht="75" customHeight="1" x14ac:dyDescent="0.15">
      <c r="B9" s="79"/>
      <c r="C9" s="149"/>
      <c r="D9" s="119"/>
      <c r="E9" s="125"/>
      <c r="F9" s="125"/>
      <c r="G9" s="119"/>
      <c r="H9" s="119"/>
      <c r="I9" s="80"/>
    </row>
    <row r="10" spans="2:9" s="34" customFormat="1" ht="25" customHeight="1" x14ac:dyDescent="0.2">
      <c r="B10" s="74"/>
      <c r="C10" s="36">
        <f t="array" ref="C10:I10">DaysAndWeeks+DATE(CalendarYear,9,1)-WEEKDAY(DATE(CalendarYear,9,1),(WeekStart="M")+1)+15</f>
        <v>45914</v>
      </c>
      <c r="D10" s="33">
        <v>45915</v>
      </c>
      <c r="E10" s="33">
        <v>45916</v>
      </c>
      <c r="F10" s="33">
        <v>45917</v>
      </c>
      <c r="G10" s="33">
        <v>45918</v>
      </c>
      <c r="H10" s="33">
        <v>45919</v>
      </c>
      <c r="I10" s="64">
        <v>45920</v>
      </c>
    </row>
    <row r="11" spans="2:9" s="51" customFormat="1" ht="75" customHeight="1" x14ac:dyDescent="0.15">
      <c r="B11" s="79"/>
      <c r="C11" s="149"/>
      <c r="D11" s="119"/>
      <c r="E11" s="125"/>
      <c r="F11" s="125"/>
      <c r="G11" s="119"/>
      <c r="H11" s="119">
        <v>0.625</v>
      </c>
      <c r="I11" s="80"/>
    </row>
    <row r="12" spans="2:9" s="34" customFormat="1" ht="25" customHeight="1" x14ac:dyDescent="0.2">
      <c r="B12" s="74"/>
      <c r="C12" s="36">
        <f t="array" ref="C12:I12">DaysAndWeeks+DATE(CalendarYear,9,1)-WEEKDAY(DATE(CalendarYear,9,1),(WeekStart="M")+1)+22</f>
        <v>45921</v>
      </c>
      <c r="D12" s="33">
        <v>45922</v>
      </c>
      <c r="E12" s="33">
        <v>45923</v>
      </c>
      <c r="F12" s="33">
        <v>45924</v>
      </c>
      <c r="G12" s="33">
        <v>45925</v>
      </c>
      <c r="H12" s="33">
        <v>45926</v>
      </c>
      <c r="I12" s="64">
        <v>45927</v>
      </c>
    </row>
    <row r="13" spans="2:9" s="51" customFormat="1" ht="75" customHeight="1" x14ac:dyDescent="0.15">
      <c r="B13" s="79"/>
      <c r="C13" s="119">
        <v>0.625</v>
      </c>
      <c r="D13" s="119"/>
      <c r="E13" s="125"/>
      <c r="F13" s="125"/>
      <c r="G13" s="119"/>
      <c r="H13" s="119"/>
      <c r="I13" s="80"/>
    </row>
    <row r="14" spans="2:9" s="34" customFormat="1" ht="25" customHeight="1" x14ac:dyDescent="0.2">
      <c r="B14" s="74"/>
      <c r="C14" s="36">
        <f t="array" ref="C14:I14">DaysAndWeeks+DATE(CalendarYear,9,1)-WEEKDAY(DATE(CalendarYear,9,1),(WeekStart="M")+1)+29</f>
        <v>45928</v>
      </c>
      <c r="D14" s="33">
        <v>45929</v>
      </c>
      <c r="E14" s="33">
        <v>45930</v>
      </c>
      <c r="F14" s="35">
        <v>45931</v>
      </c>
      <c r="G14" s="35">
        <v>45932</v>
      </c>
      <c r="H14" s="35">
        <v>45933</v>
      </c>
      <c r="I14" s="66">
        <v>45934</v>
      </c>
    </row>
    <row r="15" spans="2:9" s="51" customFormat="1" ht="75" customHeight="1" x14ac:dyDescent="0.15">
      <c r="B15" s="79"/>
      <c r="C15" s="149"/>
      <c r="D15" s="119"/>
      <c r="E15" s="125"/>
      <c r="F15" s="123"/>
      <c r="G15" s="161"/>
      <c r="H15" s="161"/>
      <c r="I15" s="86"/>
    </row>
    <row r="16" spans="2:9" s="34" customFormat="1" ht="25" customHeight="1" x14ac:dyDescent="0.2">
      <c r="B16" s="74"/>
      <c r="C16" s="41">
        <f t="array" ref="C16:I16">DaysAndWeeks+DATE(CalendarYear,9,1)-WEEKDAY(DATE(CalendarYear,9,1),(WeekStart="M")+1)+36</f>
        <v>45935</v>
      </c>
      <c r="D16" s="35">
        <v>45936</v>
      </c>
      <c r="E16" s="35">
        <v>45937</v>
      </c>
      <c r="F16" s="35">
        <v>45938</v>
      </c>
      <c r="G16" s="35">
        <v>45939</v>
      </c>
      <c r="H16" s="35">
        <v>45940</v>
      </c>
      <c r="I16" s="66">
        <v>45941</v>
      </c>
    </row>
    <row r="17" spans="2:9" s="51" customFormat="1" ht="75" customHeight="1" x14ac:dyDescent="0.15">
      <c r="B17" s="79"/>
      <c r="C17" s="53"/>
      <c r="D17" s="161"/>
      <c r="E17" s="52"/>
      <c r="F17" s="52"/>
      <c r="G17" s="52"/>
      <c r="H17" s="161"/>
      <c r="I17" s="86"/>
    </row>
    <row r="18" spans="2:9" ht="125" customHeight="1" thickBot="1" x14ac:dyDescent="0.2">
      <c r="B18" s="71"/>
      <c r="C18" s="181" t="s">
        <v>5</v>
      </c>
      <c r="D18" s="182"/>
      <c r="E18" s="182"/>
      <c r="F18" s="182"/>
      <c r="G18" s="182"/>
      <c r="H18" s="182"/>
      <c r="I18" s="18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7:C18">
    <cfRule type="expression" dxfId="13" priority="1">
      <formula>AND(DAY(C17)&gt;=1,DAY(C17)&lt;=15)</formula>
    </cfRule>
  </conditionalFormatting>
  <conditionalFormatting sqref="C6:H6">
    <cfRule type="expression" dxfId="12" priority="3">
      <formula>DAY(C6)&gt;8</formula>
    </cfRule>
  </conditionalFormatting>
  <conditionalFormatting sqref="C14:I14 E15:F15 I15 C16:I16 E17:G17 I17">
    <cfRule type="expression" dxfId="11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Normal="100" workbookViewId="0">
      <pane ySplit="5" topLeftCell="A8" activePane="bottomLeft" state="frozen"/>
      <selection pane="bottomLeft" activeCell="D7" sqref="D7"/>
    </sheetView>
  </sheetViews>
  <sheetFormatPr baseColWidth="10" defaultColWidth="8.625" defaultRowHeight="17" x14ac:dyDescent="0.15"/>
  <cols>
    <col min="1" max="2" width="2.625" style="32" customWidth="1"/>
    <col min="3" max="9" width="24.375" style="32" customWidth="1"/>
    <col min="10" max="16384" width="8.625" style="32"/>
  </cols>
  <sheetData>
    <row r="1" spans="2:9" ht="15" customHeight="1" thickBot="1" x14ac:dyDescent="0.2">
      <c r="C1" s="105"/>
      <c r="D1" s="105"/>
      <c r="E1" s="105"/>
      <c r="F1" s="105"/>
      <c r="G1" s="105"/>
      <c r="H1" s="105"/>
      <c r="I1" s="105"/>
    </row>
    <row r="2" spans="2:9" ht="75" customHeight="1" thickTop="1" x14ac:dyDescent="0.15">
      <c r="B2" s="72"/>
      <c r="C2" s="178" t="s">
        <v>39</v>
      </c>
      <c r="D2" s="179"/>
      <c r="E2" s="179"/>
      <c r="F2" s="179"/>
      <c r="G2" s="179"/>
      <c r="H2" s="179"/>
      <c r="I2" s="180"/>
    </row>
    <row r="3" spans="2:9" ht="20" customHeight="1" x14ac:dyDescent="0.2">
      <c r="B3" s="72"/>
      <c r="C3" s="94"/>
      <c r="D3" s="95"/>
      <c r="E3" s="95"/>
      <c r="F3" s="96"/>
      <c r="G3" s="18" t="s">
        <v>30</v>
      </c>
      <c r="H3" s="18" t="s">
        <v>31</v>
      </c>
      <c r="I3" s="102"/>
    </row>
    <row r="4" spans="2:9" ht="75" customHeight="1" x14ac:dyDescent="0.65">
      <c r="B4" s="72"/>
      <c r="C4" s="134">
        <f>CalendarYear</f>
        <v>2025</v>
      </c>
      <c r="D4" s="190" t="s">
        <v>32</v>
      </c>
      <c r="E4" s="190"/>
      <c r="F4" s="190"/>
      <c r="G4" s="190"/>
      <c r="H4" s="190"/>
      <c r="I4" s="133"/>
    </row>
    <row r="5" spans="2:9" ht="35" customHeight="1" x14ac:dyDescent="0.15">
      <c r="B5" s="72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ht="25" customHeight="1" x14ac:dyDescent="0.2">
      <c r="B6" s="72"/>
      <c r="C6" s="41">
        <f t="array" ref="C6:I6">DaysAndWeeks+DATE(CalendarYear,10,1)-WEEKDAY(DATE(CalendarYear,10,1),(WeekStart="M")+1)+1</f>
        <v>45928</v>
      </c>
      <c r="D6" s="35">
        <v>45929</v>
      </c>
      <c r="E6" s="35">
        <v>45930</v>
      </c>
      <c r="F6" s="106">
        <v>45931</v>
      </c>
      <c r="G6" s="106">
        <v>45932</v>
      </c>
      <c r="H6" s="106">
        <v>45933</v>
      </c>
      <c r="I6" s="64">
        <v>45934</v>
      </c>
    </row>
    <row r="7" spans="2:9" s="62" customFormat="1" ht="75" customHeight="1" x14ac:dyDescent="0.15">
      <c r="B7" s="73"/>
      <c r="C7" s="174"/>
      <c r="D7" s="161"/>
      <c r="E7" s="127"/>
      <c r="F7" s="57"/>
      <c r="G7" s="119"/>
      <c r="H7" s="119"/>
      <c r="I7" s="65"/>
    </row>
    <row r="8" spans="2:9" ht="25" customHeight="1" x14ac:dyDescent="0.2">
      <c r="B8" s="72"/>
      <c r="C8" s="36">
        <f t="array" ref="C8:I8">DaysAndWeeks+DATE(CalendarYear,10,1)-WEEKDAY(DATE(CalendarYear,10,1),(WeekStart="M")+1)+8</f>
        <v>45935</v>
      </c>
      <c r="D8" s="33">
        <v>45936</v>
      </c>
      <c r="E8" s="33">
        <v>45937</v>
      </c>
      <c r="F8" s="33">
        <v>45938</v>
      </c>
      <c r="G8" s="33">
        <v>45939</v>
      </c>
      <c r="H8" s="33">
        <v>45940</v>
      </c>
      <c r="I8" s="64">
        <v>45941</v>
      </c>
    </row>
    <row r="9" spans="2:9" s="62" customFormat="1" ht="75" customHeight="1" x14ac:dyDescent="0.15">
      <c r="B9" s="73"/>
      <c r="C9" s="149"/>
      <c r="D9" s="119"/>
      <c r="E9" s="126"/>
      <c r="F9" s="129"/>
      <c r="G9" s="119"/>
      <c r="H9" s="119"/>
      <c r="I9" s="65"/>
    </row>
    <row r="10" spans="2:9" ht="25" customHeight="1" x14ac:dyDescent="0.2">
      <c r="B10" s="72"/>
      <c r="C10" s="36">
        <f t="array" ref="C10:I10">DaysAndWeeks+DATE(CalendarYear,10,1)-WEEKDAY(DATE(CalendarYear,10,1),(WeekStart="M")+1)+15</f>
        <v>45942</v>
      </c>
      <c r="D10" s="33">
        <v>45943</v>
      </c>
      <c r="E10" s="33">
        <v>45944</v>
      </c>
      <c r="F10" s="33">
        <v>45945</v>
      </c>
      <c r="G10" s="33">
        <v>45946</v>
      </c>
      <c r="H10" s="33">
        <v>45947</v>
      </c>
      <c r="I10" s="64">
        <v>45948</v>
      </c>
    </row>
    <row r="11" spans="2:9" s="62" customFormat="1" ht="75" customHeight="1" x14ac:dyDescent="0.15">
      <c r="B11" s="73"/>
      <c r="C11" s="149"/>
      <c r="D11" s="119"/>
      <c r="E11" s="126"/>
      <c r="F11" s="129"/>
      <c r="G11" s="119"/>
      <c r="H11" s="119">
        <v>0.625</v>
      </c>
      <c r="I11" s="65"/>
    </row>
    <row r="12" spans="2:9" ht="25" customHeight="1" x14ac:dyDescent="0.2">
      <c r="B12" s="72"/>
      <c r="C12" s="36">
        <f t="array" ref="C12:I12">DaysAndWeeks+DATE(CalendarYear,10,1)-WEEKDAY(DATE(CalendarYear,10,1),(WeekStart="M")+1)+22</f>
        <v>45949</v>
      </c>
      <c r="D12" s="33">
        <v>45950</v>
      </c>
      <c r="E12" s="33">
        <v>45951</v>
      </c>
      <c r="F12" s="33">
        <v>45952</v>
      </c>
      <c r="G12" s="33">
        <v>45953</v>
      </c>
      <c r="H12" s="33">
        <v>45954</v>
      </c>
      <c r="I12" s="64">
        <v>45955</v>
      </c>
    </row>
    <row r="13" spans="2:9" s="62" customFormat="1" ht="75" customHeight="1" x14ac:dyDescent="0.15">
      <c r="B13" s="73"/>
      <c r="C13" s="119">
        <v>0.625</v>
      </c>
      <c r="D13" s="119"/>
      <c r="E13" s="126"/>
      <c r="F13" s="129"/>
      <c r="G13" s="119"/>
      <c r="H13" s="119"/>
      <c r="I13" s="65"/>
    </row>
    <row r="14" spans="2:9" ht="25" customHeight="1" x14ac:dyDescent="0.2">
      <c r="B14" s="72"/>
      <c r="C14" s="36">
        <f t="array" ref="C14:I14">DaysAndWeeks+DATE(CalendarYear,10,1)-WEEKDAY(DATE(CalendarYear,10,1),(WeekStart="M")+1)+29</f>
        <v>45956</v>
      </c>
      <c r="D14" s="33">
        <v>45957</v>
      </c>
      <c r="E14" s="33">
        <v>45958</v>
      </c>
      <c r="F14" s="136">
        <v>45959</v>
      </c>
      <c r="G14" s="136">
        <v>45960</v>
      </c>
      <c r="H14" s="136">
        <v>45961</v>
      </c>
      <c r="I14" s="66">
        <v>45962</v>
      </c>
    </row>
    <row r="15" spans="2:9" s="103" customFormat="1" ht="75" customHeight="1" x14ac:dyDescent="0.15">
      <c r="B15" s="104"/>
      <c r="C15" s="149"/>
      <c r="D15" s="119"/>
      <c r="E15" s="126"/>
      <c r="F15" s="175"/>
      <c r="G15" s="167"/>
      <c r="H15" s="119"/>
      <c r="I15" s="147"/>
    </row>
    <row r="16" spans="2:9" ht="25" customHeight="1" x14ac:dyDescent="0.2">
      <c r="B16" s="72"/>
      <c r="C16" s="41">
        <f t="array" ref="C16:I16">DaysAndWeeks+DATE(CalendarYear,10,1)-WEEKDAY(DATE(CalendarYear,10,1),(WeekStart="M")+1)+36</f>
        <v>45963</v>
      </c>
      <c r="D16" s="35">
        <v>45964</v>
      </c>
      <c r="E16" s="35">
        <v>45965</v>
      </c>
      <c r="F16" s="35">
        <v>45966</v>
      </c>
      <c r="G16" s="35">
        <v>45967</v>
      </c>
      <c r="H16" s="35">
        <v>45968</v>
      </c>
      <c r="I16" s="35">
        <v>45969</v>
      </c>
    </row>
    <row r="17" spans="2:9" s="62" customFormat="1" ht="75" customHeight="1" x14ac:dyDescent="0.15">
      <c r="B17" s="73"/>
      <c r="C17" s="148"/>
      <c r="D17" s="161"/>
      <c r="E17" s="61"/>
      <c r="F17" s="61"/>
      <c r="G17" s="61"/>
      <c r="H17" s="161"/>
      <c r="I17" s="61"/>
    </row>
    <row r="18" spans="2:9" s="1" customFormat="1" ht="125" customHeight="1" thickBot="1" x14ac:dyDescent="0.2">
      <c r="B18" s="71"/>
      <c r="C18" s="181" t="s">
        <v>5</v>
      </c>
      <c r="D18" s="182"/>
      <c r="E18" s="182"/>
      <c r="F18" s="182"/>
      <c r="G18" s="182"/>
      <c r="H18" s="182"/>
      <c r="I18" s="183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7:C18">
    <cfRule type="expression" dxfId="10" priority="1">
      <formula>AND(DAY(C17)&gt;=1,DAY(C17)&lt;=15)</formula>
    </cfRule>
  </conditionalFormatting>
  <conditionalFormatting sqref="C6:H6">
    <cfRule type="expression" dxfId="9" priority="3">
      <formula>DAY(C6)&gt;8</formula>
    </cfRule>
  </conditionalFormatting>
  <conditionalFormatting sqref="C14:I14 E15:G15 I15 C16:I16 E17:G17 I17">
    <cfRule type="expression" dxfId="8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13" sqref="C13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8" t="s">
        <v>39</v>
      </c>
      <c r="D2" s="179"/>
      <c r="E2" s="179"/>
      <c r="F2" s="179"/>
      <c r="G2" s="179"/>
      <c r="H2" s="179"/>
      <c r="I2" s="180"/>
    </row>
    <row r="3" spans="2:9" ht="20" customHeight="1" x14ac:dyDescent="0.3">
      <c r="B3" s="71"/>
      <c r="C3" s="54"/>
      <c r="D3" s="55"/>
      <c r="E3" s="55"/>
      <c r="F3" s="56"/>
      <c r="G3" s="18" t="s">
        <v>33</v>
      </c>
      <c r="H3" s="18" t="s">
        <v>34</v>
      </c>
      <c r="I3" s="75"/>
    </row>
    <row r="4" spans="2:9" ht="75" customHeight="1" x14ac:dyDescent="0.65">
      <c r="B4" s="71"/>
      <c r="C4" s="134">
        <f>CalendarYear</f>
        <v>2025</v>
      </c>
      <c r="D4" s="191" t="s">
        <v>35</v>
      </c>
      <c r="E4" s="191"/>
      <c r="F4" s="191"/>
      <c r="G4" s="191"/>
      <c r="H4" s="191"/>
      <c r="I4" s="133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41">
        <f t="array" ref="C6:I6">DaysAndWeeks+DATE(CalendarYear,11,1)-WEEKDAY(DATE(CalendarYear,11,1),(WeekStart="M")+1)+1</f>
        <v>45956</v>
      </c>
      <c r="D6" s="35">
        <v>45957</v>
      </c>
      <c r="E6" s="35">
        <v>45958</v>
      </c>
      <c r="F6" s="35">
        <v>45959</v>
      </c>
      <c r="G6" s="35">
        <v>45960</v>
      </c>
      <c r="H6" s="35">
        <v>45961</v>
      </c>
      <c r="I6" s="64">
        <v>45962</v>
      </c>
    </row>
    <row r="7" spans="2:9" s="62" customFormat="1" ht="75" customHeight="1" x14ac:dyDescent="0.15">
      <c r="B7" s="73"/>
      <c r="C7" s="63"/>
      <c r="D7" s="174"/>
      <c r="E7" s="142"/>
      <c r="F7" s="146"/>
      <c r="G7" s="164"/>
      <c r="H7" s="161"/>
      <c r="I7" s="65"/>
    </row>
    <row r="8" spans="2:9" s="32" customFormat="1" ht="25" customHeight="1" x14ac:dyDescent="0.2">
      <c r="B8" s="72"/>
      <c r="C8" s="36">
        <f t="array" ref="C8:I8">DaysAndWeeks+DATE(CalendarYear,11,1)-WEEKDAY(DATE(CalendarYear,11,1),(WeekStart="M")+1)+8</f>
        <v>45963</v>
      </c>
      <c r="D8" s="33">
        <v>45964</v>
      </c>
      <c r="E8" s="106">
        <v>45965</v>
      </c>
      <c r="F8" s="33">
        <v>45966</v>
      </c>
      <c r="G8" s="33">
        <v>45967</v>
      </c>
      <c r="H8" s="33">
        <v>45968</v>
      </c>
      <c r="I8" s="64">
        <v>45969</v>
      </c>
    </row>
    <row r="9" spans="2:9" s="62" customFormat="1" ht="75" customHeight="1" x14ac:dyDescent="0.15">
      <c r="B9" s="73"/>
      <c r="D9" s="149"/>
      <c r="E9" s="126"/>
      <c r="F9" s="129"/>
      <c r="H9" s="119"/>
      <c r="I9" s="65"/>
    </row>
    <row r="10" spans="2:9" s="32" customFormat="1" ht="25" customHeight="1" x14ac:dyDescent="0.2">
      <c r="B10" s="72"/>
      <c r="C10" s="36">
        <f t="array" ref="C10:I10">DaysAndWeeks+DATE(CalendarYear,11,1)-WEEKDAY(DATE(CalendarYear,11,1),(WeekStart="M")+1)+15</f>
        <v>45970</v>
      </c>
      <c r="D10" s="33">
        <v>45971</v>
      </c>
      <c r="E10" s="106">
        <v>45972</v>
      </c>
      <c r="F10" s="33">
        <v>45973</v>
      </c>
      <c r="G10" s="33">
        <v>45974</v>
      </c>
      <c r="H10" s="33">
        <v>45975</v>
      </c>
      <c r="I10" s="64">
        <v>45976</v>
      </c>
    </row>
    <row r="11" spans="2:9" s="62" customFormat="1" ht="75" customHeight="1" x14ac:dyDescent="0.15">
      <c r="B11" s="73"/>
      <c r="D11" s="149"/>
      <c r="E11" s="126"/>
      <c r="F11" s="129"/>
      <c r="H11" s="119">
        <v>0.625</v>
      </c>
      <c r="I11" s="65"/>
    </row>
    <row r="12" spans="2:9" s="32" customFormat="1" ht="25" customHeight="1" x14ac:dyDescent="0.2">
      <c r="B12" s="72"/>
      <c r="C12" s="36">
        <f t="array" ref="C12:I12">DaysAndWeeks+DATE(CalendarYear,11,1)-WEEKDAY(DATE(CalendarYear,11,1),(WeekStart="M")+1)+22</f>
        <v>45977</v>
      </c>
      <c r="D12" s="33">
        <v>45978</v>
      </c>
      <c r="E12" s="106">
        <v>45979</v>
      </c>
      <c r="F12" s="33">
        <v>45980</v>
      </c>
      <c r="G12" s="33">
        <v>45981</v>
      </c>
      <c r="H12" s="33">
        <v>45982</v>
      </c>
      <c r="I12" s="64">
        <v>45983</v>
      </c>
    </row>
    <row r="13" spans="2:9" s="62" customFormat="1" ht="75" customHeight="1" x14ac:dyDescent="0.15">
      <c r="B13" s="73"/>
      <c r="C13" s="119">
        <v>0.625</v>
      </c>
      <c r="D13" s="149"/>
      <c r="E13" s="126"/>
      <c r="F13" s="129"/>
      <c r="H13" s="119"/>
      <c r="I13" s="65"/>
    </row>
    <row r="14" spans="2:9" s="32" customFormat="1" ht="25" customHeight="1" x14ac:dyDescent="0.2">
      <c r="B14" s="72"/>
      <c r="C14" s="36">
        <f t="array" ref="C14:I14">DaysAndWeeks+DATE(CalendarYear,11,1)-WEEKDAY(DATE(CalendarYear,11,1),(WeekStart="M")+1)+29</f>
        <v>45984</v>
      </c>
      <c r="D14" s="33">
        <v>45985</v>
      </c>
      <c r="E14" s="106">
        <v>45986</v>
      </c>
      <c r="F14" s="33">
        <v>45987</v>
      </c>
      <c r="G14" s="106">
        <v>45988</v>
      </c>
      <c r="H14" s="136">
        <v>45989</v>
      </c>
      <c r="I14" s="157">
        <v>45990</v>
      </c>
    </row>
    <row r="15" spans="2:9" s="62" customFormat="1" ht="75" customHeight="1" x14ac:dyDescent="0.15">
      <c r="B15" s="73"/>
      <c r="D15" s="149"/>
      <c r="E15" s="126"/>
      <c r="F15" s="57"/>
      <c r="G15" s="119"/>
      <c r="H15" s="119"/>
      <c r="I15" s="173"/>
    </row>
    <row r="16" spans="2:9" s="32" customFormat="1" ht="25" customHeight="1" x14ac:dyDescent="0.2">
      <c r="B16" s="72"/>
      <c r="C16" s="171">
        <f t="array" ref="C16:I16">DaysAndWeeks+DATE(CalendarYear,11,1)-WEEKDAY(DATE(CalendarYear,11,1),(WeekStart="M")+1)+36</f>
        <v>45991</v>
      </c>
      <c r="D16" s="35">
        <v>45992</v>
      </c>
      <c r="E16" s="35">
        <v>45993</v>
      </c>
      <c r="F16" s="35">
        <v>45994</v>
      </c>
      <c r="G16" s="35">
        <v>45995</v>
      </c>
      <c r="H16" s="35">
        <v>45996</v>
      </c>
      <c r="I16" s="66">
        <v>45997</v>
      </c>
    </row>
    <row r="17" spans="2:9" s="62" customFormat="1" ht="75" customHeight="1" x14ac:dyDescent="0.15">
      <c r="B17" s="73"/>
      <c r="C17" s="176"/>
      <c r="D17" s="174"/>
      <c r="E17" s="61"/>
      <c r="F17" s="61"/>
      <c r="G17" s="61"/>
      <c r="H17" s="161"/>
      <c r="I17" s="67"/>
    </row>
    <row r="18" spans="2:9" ht="125" customHeight="1" thickBot="1" x14ac:dyDescent="0.2">
      <c r="B18" s="71"/>
      <c r="C18" s="181" t="s">
        <v>5</v>
      </c>
      <c r="D18" s="182"/>
      <c r="E18" s="182"/>
      <c r="F18" s="182"/>
      <c r="G18" s="182"/>
      <c r="H18" s="182"/>
      <c r="I18" s="18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7:C18">
    <cfRule type="expression" dxfId="7" priority="1">
      <formula>AND(DAY(C17)&gt;=1,DAY(C17)&lt;=15)</formula>
    </cfRule>
  </conditionalFormatting>
  <conditionalFormatting sqref="C6:H6">
    <cfRule type="expression" dxfId="6" priority="3">
      <formula>DAY(C6)&gt;8</formula>
    </cfRule>
  </conditionalFormatting>
  <conditionalFormatting sqref="C14:I14 E15:F15 I15 C16:I16 E17:G17 I17">
    <cfRule type="expression" dxfId="5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tabSelected="1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6"/>
      <c r="D1" s="76"/>
      <c r="E1" s="76"/>
      <c r="F1" s="76"/>
      <c r="G1" s="76"/>
      <c r="H1" s="76"/>
      <c r="I1" s="76"/>
    </row>
    <row r="2" spans="2:9" ht="75" customHeight="1" thickTop="1" x14ac:dyDescent="0.15">
      <c r="B2" s="71"/>
      <c r="C2" s="178" t="s">
        <v>39</v>
      </c>
      <c r="D2" s="179"/>
      <c r="E2" s="179"/>
      <c r="F2" s="179"/>
      <c r="G2" s="179"/>
      <c r="H2" s="179"/>
      <c r="I2" s="180"/>
    </row>
    <row r="3" spans="2:9" ht="20" customHeight="1" x14ac:dyDescent="0.3">
      <c r="B3" s="71"/>
      <c r="C3" s="54"/>
      <c r="D3" s="55"/>
      <c r="E3" s="55"/>
      <c r="F3" s="56"/>
      <c r="G3" s="18" t="s">
        <v>36</v>
      </c>
      <c r="H3" s="18" t="s">
        <v>37</v>
      </c>
      <c r="I3" s="75"/>
    </row>
    <row r="4" spans="2:9" ht="75" customHeight="1" x14ac:dyDescent="0.65">
      <c r="B4" s="71"/>
      <c r="C4" s="134">
        <f>CalendarYear</f>
        <v>2025</v>
      </c>
      <c r="D4" s="191" t="s">
        <v>38</v>
      </c>
      <c r="E4" s="191"/>
      <c r="F4" s="191"/>
      <c r="G4" s="191"/>
      <c r="H4" s="191"/>
      <c r="I4" s="133"/>
    </row>
    <row r="5" spans="2:9" ht="35" customHeight="1" x14ac:dyDescent="0.15">
      <c r="B5" s="71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2" customFormat="1" ht="25" customHeight="1" x14ac:dyDescent="0.2">
      <c r="B6" s="72"/>
      <c r="C6" s="41">
        <f t="array" ref="C6:I6">DaysAndWeeks+DATE(CalendarYear,12,1)-WEEKDAY(DATE(CalendarYear,12,1),(WeekStart="M")+1)+1</f>
        <v>45991</v>
      </c>
      <c r="D6" s="136">
        <v>45992</v>
      </c>
      <c r="E6" s="136">
        <v>45993</v>
      </c>
      <c r="F6" s="136">
        <v>45994</v>
      </c>
      <c r="G6" s="136">
        <v>45995</v>
      </c>
      <c r="H6" s="33">
        <v>45996</v>
      </c>
      <c r="I6" s="64">
        <v>45997</v>
      </c>
    </row>
    <row r="7" spans="2:9" s="62" customFormat="1" ht="75" customHeight="1" x14ac:dyDescent="0.15">
      <c r="B7" s="73"/>
      <c r="C7" s="63"/>
      <c r="D7" s="177"/>
      <c r="E7" s="166"/>
      <c r="F7" s="166"/>
      <c r="G7" s="117"/>
      <c r="H7" s="119"/>
      <c r="I7" s="65"/>
    </row>
    <row r="8" spans="2:9" s="32" customFormat="1" ht="25" customHeight="1" x14ac:dyDescent="0.2">
      <c r="B8" s="72"/>
      <c r="C8" s="36">
        <f t="array" ref="C8:I8">DaysAndWeeks+DATE(CalendarYear,12,1)-WEEKDAY(DATE(CalendarYear,12,1),(WeekStart="M")+1)+8</f>
        <v>45998</v>
      </c>
      <c r="D8" s="33">
        <v>45999</v>
      </c>
      <c r="E8" s="36">
        <v>46000</v>
      </c>
      <c r="F8" s="33">
        <v>46001</v>
      </c>
      <c r="G8" s="33">
        <v>46002</v>
      </c>
      <c r="H8" s="33">
        <v>46003</v>
      </c>
      <c r="I8" s="64">
        <v>46004</v>
      </c>
    </row>
    <row r="9" spans="2:9" s="62" customFormat="1" ht="75" customHeight="1" x14ac:dyDescent="0.15">
      <c r="B9" s="73"/>
      <c r="C9" s="149"/>
      <c r="D9" s="119"/>
      <c r="E9" s="126"/>
      <c r="F9" s="129"/>
      <c r="G9" s="119"/>
      <c r="H9" s="119"/>
      <c r="I9" s="65"/>
    </row>
    <row r="10" spans="2:9" s="32" customFormat="1" ht="25" customHeight="1" x14ac:dyDescent="0.2">
      <c r="B10" s="72"/>
      <c r="C10" s="36">
        <f t="array" ref="C10:I10">DaysAndWeeks+DATE(CalendarYear,12,1)-WEEKDAY(DATE(CalendarYear,12,1),(WeekStart="M")+1)+15</f>
        <v>46005</v>
      </c>
      <c r="D10" s="33">
        <v>46006</v>
      </c>
      <c r="E10" s="33">
        <v>46007</v>
      </c>
      <c r="F10" s="33">
        <v>46008</v>
      </c>
      <c r="G10" s="33">
        <v>46009</v>
      </c>
      <c r="H10" s="33">
        <v>46010</v>
      </c>
      <c r="I10" s="64">
        <v>46011</v>
      </c>
    </row>
    <row r="11" spans="2:9" s="62" customFormat="1" ht="75" customHeight="1" x14ac:dyDescent="0.15">
      <c r="B11" s="73"/>
      <c r="C11" s="149"/>
      <c r="D11" s="119"/>
      <c r="E11" s="126"/>
      <c r="F11" s="129"/>
      <c r="G11" s="119"/>
      <c r="H11" s="119">
        <v>0.625</v>
      </c>
      <c r="I11" s="65"/>
    </row>
    <row r="12" spans="2:9" s="32" customFormat="1" ht="25" customHeight="1" x14ac:dyDescent="0.2">
      <c r="B12" s="72"/>
      <c r="C12" s="36">
        <f t="array" ref="C12:I12">DaysAndWeeks+DATE(CalendarYear,12,1)-WEEKDAY(DATE(CalendarYear,12,1),(WeekStart="M")+1)+22</f>
        <v>46012</v>
      </c>
      <c r="D12" s="33">
        <v>46013</v>
      </c>
      <c r="E12" s="33">
        <v>46014</v>
      </c>
      <c r="F12" s="33">
        <v>46015</v>
      </c>
      <c r="G12" s="33">
        <v>46016</v>
      </c>
      <c r="H12" s="33">
        <v>46017</v>
      </c>
      <c r="I12" s="64">
        <v>46018</v>
      </c>
    </row>
    <row r="13" spans="2:9" s="62" customFormat="1" ht="75" customHeight="1" x14ac:dyDescent="0.15">
      <c r="B13" s="73"/>
      <c r="C13" s="119">
        <v>0.625</v>
      </c>
      <c r="D13" s="119"/>
      <c r="E13" s="126"/>
      <c r="F13" s="129"/>
      <c r="G13" s="119"/>
      <c r="H13" s="119"/>
      <c r="I13" s="65"/>
    </row>
    <row r="14" spans="2:9" s="32" customFormat="1" ht="25" customHeight="1" x14ac:dyDescent="0.2">
      <c r="B14" s="72"/>
      <c r="C14" s="36">
        <f t="array" ref="C14:I14">DaysAndWeeks+DATE(CalendarYear,12,1)-WEEKDAY(DATE(CalendarYear,12,1),(WeekStart="M")+1)+29</f>
        <v>46019</v>
      </c>
      <c r="D14" s="33">
        <v>46020</v>
      </c>
      <c r="E14" s="33">
        <v>46021</v>
      </c>
      <c r="F14" s="33">
        <v>46022</v>
      </c>
      <c r="G14" s="35">
        <v>46023</v>
      </c>
      <c r="H14" s="35">
        <v>46024</v>
      </c>
      <c r="I14" s="66">
        <v>46025</v>
      </c>
    </row>
    <row r="15" spans="2:9" s="62" customFormat="1" ht="75" customHeight="1" x14ac:dyDescent="0.15">
      <c r="B15" s="73"/>
      <c r="C15" s="149"/>
      <c r="D15" s="119"/>
      <c r="E15" s="126"/>
      <c r="F15" s="129"/>
      <c r="G15" s="161"/>
      <c r="H15" s="161"/>
      <c r="I15" s="67"/>
    </row>
    <row r="16" spans="2:9" s="32" customFormat="1" ht="25" customHeight="1" x14ac:dyDescent="0.2">
      <c r="B16" s="72"/>
      <c r="C16" s="41">
        <f t="array" ref="C16:I16">DaysAndWeeks+DATE(CalendarYear,12,1)-WEEKDAY(DATE(CalendarYear,12,1),(WeekStart="M")+1)+36</f>
        <v>46026</v>
      </c>
      <c r="D16" s="35">
        <v>46027</v>
      </c>
      <c r="E16" s="60">
        <v>46028</v>
      </c>
      <c r="F16" s="35">
        <v>46029</v>
      </c>
      <c r="G16" s="35">
        <v>46030</v>
      </c>
      <c r="H16" s="60">
        <v>46031</v>
      </c>
      <c r="I16" s="66">
        <v>46032</v>
      </c>
    </row>
    <row r="17" spans="2:9" s="62" customFormat="1" ht="75" customHeight="1" x14ac:dyDescent="0.15">
      <c r="B17" s="73"/>
      <c r="C17" s="174"/>
      <c r="D17" s="161"/>
      <c r="E17" s="98"/>
      <c r="F17" s="61"/>
      <c r="G17" s="61"/>
      <c r="H17" s="161"/>
      <c r="I17" s="67"/>
    </row>
    <row r="18" spans="2:9" ht="125" customHeight="1" thickBot="1" x14ac:dyDescent="0.2">
      <c r="B18" s="71"/>
      <c r="C18" s="181" t="s">
        <v>5</v>
      </c>
      <c r="D18" s="182"/>
      <c r="E18" s="182"/>
      <c r="F18" s="182"/>
      <c r="G18" s="182"/>
      <c r="H18" s="182"/>
      <c r="I18" s="18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4" priority="1">
      <formula>AND(DAY(C18)&gt;=1,DAY(C18)&lt;=15)</formula>
    </cfRule>
  </conditionalFormatting>
  <conditionalFormatting sqref="C6:H6">
    <cfRule type="expression" dxfId="3" priority="3">
      <formula>DAY(C6)&gt;8</formula>
    </cfRule>
  </conditionalFormatting>
  <conditionalFormatting sqref="C14:I14 E15:F15 I15 C16:I16 E17:G17 I17">
    <cfRule type="expression" dxfId="2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B29662-14CD-45D1-BA66-8FAC675A1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937504-F1EA-46A5-B9BF-E1DC518AC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54C7F9-FE0D-4D11-BD2E-35CDFCA06F89}">
  <ds:schemaRefs>
    <ds:schemaRef ds:uri="http://purl.org/dc/dcmitype/"/>
    <ds:schemaRef ds:uri="2f96a5e1-f937-4986-abb4-c031ec480b26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088389d-f9a4-418b-a8d8-f0ed3f71e6c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Anthony Colón</cp:lastModifiedBy>
  <cp:revision/>
  <dcterms:created xsi:type="dcterms:W3CDTF">2016-11-11T22:25:27Z</dcterms:created>
  <dcterms:modified xsi:type="dcterms:W3CDTF">2025-03-04T21:05:06Z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